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ikki Mattila\Desktop\PPE Calculator\"/>
    </mc:Choice>
  </mc:AlternateContent>
  <xr:revisionPtr revIDLastSave="0" documentId="13_ncr:1_{280498C4-82EC-499A-96AA-44FF5EDE4E98}" xr6:coauthVersionLast="45" xr6:coauthVersionMax="45" xr10:uidLastSave="{00000000-0000-0000-0000-000000000000}"/>
  <bookViews>
    <workbookView xWindow="-110" yWindow="-110" windowWidth="19420" windowHeight="10420" xr2:uid="{C7435D8D-1541-4184-B358-6B616BCF8446}"/>
  </bookViews>
  <sheets>
    <sheet name="Introduction" sheetId="3" r:id="rId1"/>
    <sheet name="Assumptions" sheetId="4" r:id="rId2"/>
    <sheet name="Capex, WC" sheetId="6" r:id="rId3"/>
    <sheet name="Definitions" sheetId="7" r:id="rId4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43893.2536342593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81029" calcMode="autoNoTable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6" l="1"/>
  <c r="C20" i="6"/>
  <c r="I12" i="4"/>
  <c r="I33" i="6" s="1"/>
  <c r="G12" i="4"/>
  <c r="E12" i="4"/>
  <c r="C12" i="4"/>
  <c r="C33" i="6" s="1"/>
  <c r="G33" i="6"/>
  <c r="E33" i="6"/>
  <c r="E27" i="4" l="1"/>
  <c r="C27" i="4"/>
  <c r="E23" i="4" l="1"/>
  <c r="E25" i="4" s="1"/>
  <c r="C23" i="4"/>
  <c r="C25" i="4" s="1"/>
  <c r="K47" i="6" l="1"/>
  <c r="K10" i="6" l="1"/>
  <c r="E68" i="6" l="1"/>
  <c r="E57" i="6" s="1"/>
  <c r="E66" i="6"/>
  <c r="E72" i="6" s="1"/>
  <c r="C68" i="6"/>
  <c r="C66" i="6"/>
  <c r="C72" i="6" s="1"/>
  <c r="I70" i="6"/>
  <c r="G70" i="6"/>
  <c r="I68" i="6"/>
  <c r="I57" i="6" s="1"/>
  <c r="G68" i="6"/>
  <c r="G57" i="6" s="1"/>
  <c r="I66" i="6"/>
  <c r="I72" i="6" s="1"/>
  <c r="G66" i="6"/>
  <c r="G72" i="6" s="1"/>
  <c r="K51" i="6"/>
  <c r="K49" i="6"/>
  <c r="I45" i="6"/>
  <c r="G45" i="6"/>
  <c r="I31" i="6"/>
  <c r="I20" i="6" s="1"/>
  <c r="I29" i="6"/>
  <c r="I35" i="6" s="1"/>
  <c r="G31" i="6"/>
  <c r="G22" i="6" s="1"/>
  <c r="G29" i="6"/>
  <c r="G35" i="6" s="1"/>
  <c r="E31" i="6"/>
  <c r="E20" i="6" s="1"/>
  <c r="E29" i="6"/>
  <c r="E35" i="6" s="1"/>
  <c r="C31" i="6"/>
  <c r="C29" i="6"/>
  <c r="C35" i="6" s="1"/>
  <c r="G61" i="6" l="1"/>
  <c r="I61" i="6"/>
  <c r="I76" i="6"/>
  <c r="I24" i="6"/>
  <c r="G24" i="6"/>
  <c r="E61" i="6"/>
  <c r="E24" i="6"/>
  <c r="C24" i="6"/>
  <c r="C61" i="6"/>
  <c r="G53" i="6"/>
  <c r="G74" i="6"/>
  <c r="G76" i="6" s="1"/>
  <c r="I53" i="6"/>
  <c r="I74" i="6"/>
  <c r="C59" i="6"/>
  <c r="C57" i="6"/>
  <c r="K57" i="6" s="1"/>
  <c r="I59" i="6"/>
  <c r="G59" i="6"/>
  <c r="G63" i="6" s="1"/>
  <c r="E59" i="6"/>
  <c r="K68" i="6"/>
  <c r="K31" i="6"/>
  <c r="K66" i="6"/>
  <c r="K72" i="6" s="1"/>
  <c r="G20" i="6"/>
  <c r="K20" i="6" s="1"/>
  <c r="I22" i="6"/>
  <c r="C22" i="6"/>
  <c r="K29" i="6"/>
  <c r="K35" i="6" s="1"/>
  <c r="E22" i="6"/>
  <c r="I26" i="6" l="1"/>
  <c r="K61" i="6"/>
  <c r="E63" i="6"/>
  <c r="K24" i="6"/>
  <c r="E26" i="6"/>
  <c r="I63" i="6"/>
  <c r="K59" i="6"/>
  <c r="C63" i="6"/>
  <c r="G26" i="6"/>
  <c r="K22" i="6"/>
  <c r="C26" i="6"/>
  <c r="K26" i="6" l="1"/>
  <c r="K63" i="6"/>
  <c r="K14" i="6" l="1"/>
  <c r="K12" i="6"/>
  <c r="I8" i="6"/>
  <c r="G8" i="6"/>
  <c r="E8" i="6"/>
  <c r="C8" i="6"/>
  <c r="C37" i="6" l="1"/>
  <c r="C16" i="6"/>
  <c r="I16" i="6"/>
  <c r="I37" i="6"/>
  <c r="G16" i="6"/>
  <c r="G37" i="6"/>
  <c r="E16" i="6"/>
  <c r="E37" i="6"/>
  <c r="K8" i="6"/>
  <c r="K16" i="6" l="1"/>
  <c r="K37" i="6" l="1"/>
  <c r="E22" i="4" l="1"/>
  <c r="C22" i="4" l="1"/>
  <c r="I39" i="6"/>
  <c r="G39" i="6"/>
  <c r="E39" i="6"/>
  <c r="K33" i="6" l="1"/>
  <c r="K39" i="6"/>
  <c r="E45" i="6"/>
  <c r="C45" i="6"/>
  <c r="E74" i="6" l="1"/>
  <c r="E53" i="6"/>
  <c r="C53" i="6"/>
  <c r="K45" i="6"/>
  <c r="C74" i="6"/>
  <c r="K74" i="6" s="1"/>
  <c r="C70" i="6"/>
  <c r="E70" i="6"/>
  <c r="E76" i="6" l="1"/>
  <c r="K53" i="6"/>
  <c r="K70" i="6"/>
  <c r="C76" i="6"/>
  <c r="K76" i="6" l="1"/>
</calcChain>
</file>

<file path=xl/sharedStrings.xml><?xml version="1.0" encoding="utf-8"?>
<sst xmlns="http://schemas.openxmlformats.org/spreadsheetml/2006/main" count="211" uniqueCount="161">
  <si>
    <t>$</t>
  </si>
  <si>
    <t>Inventory</t>
  </si>
  <si>
    <t>Receivables</t>
  </si>
  <si>
    <t>Payables</t>
  </si>
  <si>
    <t>Inventory days</t>
  </si>
  <si>
    <t>Payable days</t>
  </si>
  <si>
    <t>Receivable days</t>
  </si>
  <si>
    <t>What the calculator does:</t>
  </si>
  <si>
    <t>What the calculator does not do:</t>
  </si>
  <si>
    <t>Based on your input data it calculates:</t>
  </si>
  <si>
    <t xml:space="preserve">     (i)  Capital expenditure for production lines</t>
  </si>
  <si>
    <t xml:space="preserve">     (ii) Working Capital needs</t>
  </si>
  <si>
    <t>Based on your input data it does not calculate:</t>
  </si>
  <si>
    <t xml:space="preserve">     (i)   Accurate product costing</t>
  </si>
  <si>
    <t xml:space="preserve">     (ii)  Accurate material procurement volumes</t>
  </si>
  <si>
    <t xml:space="preserve">     (iii) Accurate cash flows</t>
  </si>
  <si>
    <t>Masks</t>
  </si>
  <si>
    <t>Gowns</t>
  </si>
  <si>
    <t>*  Non-woven polypropylene fabric</t>
  </si>
  <si>
    <t>*  Non-woven polypropylene fabric, 3-4 layers</t>
  </si>
  <si>
    <t>*  3-4 layer pleated construction</t>
  </si>
  <si>
    <t>Respirator - Type FFP2/KN95/N95 - no valve</t>
  </si>
  <si>
    <t>*  Nose bridge strip on upper edge</t>
  </si>
  <si>
    <t>*  Two elasticated straps</t>
  </si>
  <si>
    <t>*  Behind the ear elastic straps</t>
  </si>
  <si>
    <t>*  Bacterial filtering efficiency more than 95% for</t>
  </si>
  <si>
    <t xml:space="preserve">    particles from 0.1 to 0.3 micron</t>
  </si>
  <si>
    <t>*  Air permeability more than 2 mm H2O</t>
  </si>
  <si>
    <t xml:space="preserve"> </t>
  </si>
  <si>
    <t>*  Single use disposable respirator mask for medical use</t>
  </si>
  <si>
    <t xml:space="preserve">  </t>
  </si>
  <si>
    <t>Isolation Gown</t>
  </si>
  <si>
    <t>*  Single use disposable gown for medical use</t>
  </si>
  <si>
    <t xml:space="preserve">    polypropylene fabric</t>
  </si>
  <si>
    <t>*  Outer layer viral penetration resistance per</t>
  </si>
  <si>
    <t xml:space="preserve">    ISO 16604 / ASTM F1671</t>
  </si>
  <si>
    <t>* Minimum material density 20 g/m2</t>
  </si>
  <si>
    <t>*  Length 135 - 145 cm, circumference 140-146 cm</t>
  </si>
  <si>
    <t>*  Sleeve finished with double layer cuff or stitched</t>
  </si>
  <si>
    <t>Surgical Gown</t>
  </si>
  <si>
    <t>*  Single use disposable gown for surgical use</t>
  </si>
  <si>
    <t>*  Non-woven SMS, SMMS material with outer layer</t>
  </si>
  <si>
    <t xml:space="preserve">    sleeves)</t>
  </si>
  <si>
    <t>*  Length 130-136 cm, circumference 135-140 cm</t>
  </si>
  <si>
    <t>*  Sleeve finish with double layer cuff, thumb/finger</t>
  </si>
  <si>
    <t xml:space="preserve">    loops</t>
  </si>
  <si>
    <t xml:space="preserve">    US FDA 510(k) clearance, Class II</t>
  </si>
  <si>
    <t>Medical/Surgical Mask</t>
  </si>
  <si>
    <t>Respirator</t>
  </si>
  <si>
    <t>Number of spreading machines</t>
  </si>
  <si>
    <t>Number of automatic cutters</t>
  </si>
  <si>
    <t>Production with Automatic Machinery</t>
  </si>
  <si>
    <t>Number of production lines</t>
  </si>
  <si>
    <t>Costing Parameters</t>
  </si>
  <si>
    <t>Working Capital Days</t>
  </si>
  <si>
    <t>Other materials ($/piece)</t>
  </si>
  <si>
    <t>Fabric cost ($/piece)</t>
  </si>
  <si>
    <t>Investments and Working Capital Need</t>
  </si>
  <si>
    <t>Materials ($/year)</t>
  </si>
  <si>
    <t>Sales ($/year)</t>
  </si>
  <si>
    <t>Working Capital</t>
  </si>
  <si>
    <t>Total</t>
  </si>
  <si>
    <t>Sales price ($/piece)</t>
  </si>
  <si>
    <t>Production target (pieces/month)</t>
  </si>
  <si>
    <t>Standard minutes (S.A.M. per piece)</t>
  </si>
  <si>
    <t>Production per line (pieces/month)</t>
  </si>
  <si>
    <t>= input your data</t>
  </si>
  <si>
    <t>Production target</t>
  </si>
  <si>
    <t>Standard minutes (S.A.M)</t>
  </si>
  <si>
    <t>Number of working minutes per product with 100 % performance against international standard.</t>
  </si>
  <si>
    <t>Depends on production volume</t>
  </si>
  <si>
    <t>Automatic production per line (pcs/month)</t>
  </si>
  <si>
    <t>Calculated with 75 pcs/min for surgical mask and 15 pcs/min for respirators.</t>
  </si>
  <si>
    <t>Number of automatic production lines</t>
  </si>
  <si>
    <t>Production target / production per line</t>
  </si>
  <si>
    <t>Sales price</t>
  </si>
  <si>
    <t>Prices in the model originate from UNIFEC tender.</t>
  </si>
  <si>
    <t>Fabric cost</t>
  </si>
  <si>
    <t>Consumption (m/piece) * material price ($/m)</t>
  </si>
  <si>
    <t>Other materials</t>
  </si>
  <si>
    <t>Accessories, such as elastic strap, etc.</t>
  </si>
  <si>
    <t>Average number of days for stocking raw materials, work in progress and ready made products.</t>
  </si>
  <si>
    <t>Number of credit days from suppliers. This is 0 if payable at delivery.</t>
  </si>
  <si>
    <t>Assumptions</t>
  </si>
  <si>
    <t>Monthly production target * sales price * 11 full operating months per year</t>
  </si>
  <si>
    <t>Working capital -inventory</t>
  </si>
  <si>
    <t>Working capital - payables</t>
  </si>
  <si>
    <t>(Payable days / 360 days) * Material cost per year</t>
  </si>
  <si>
    <t>Inventory - Payables + Receivables</t>
  </si>
  <si>
    <t>Monthly production target at maximum capacity utilization</t>
  </si>
  <si>
    <t>(Production target x standard minutes)/ (480 daily minutes x 24 working days in one month x 80% efficiency)</t>
  </si>
  <si>
    <t>Monthly production target * (fabric cost + other material cost) * 11 operating months per year</t>
  </si>
  <si>
    <t>*  Non-woven SMS, SMMS polyethylene -coated</t>
  </si>
  <si>
    <t>*  Comply with EU Medical Devices Directive 93/42 Class I</t>
  </si>
  <si>
    <t xml:space="preserve">    liquid penetration resistant in critical areas (chest,</t>
  </si>
  <si>
    <t>*  Non-woven filter layer</t>
  </si>
  <si>
    <t>*  Comply with EU Medical Devices Directive 93/24 Class I or</t>
  </si>
  <si>
    <t>Number of credit days given to clients.</t>
  </si>
  <si>
    <t>= protected data</t>
  </si>
  <si>
    <t>(Inventory days / 360 days) * (Materials per year</t>
  </si>
  <si>
    <t>Green cells</t>
  </si>
  <si>
    <t>Production with Cut &amp; Sew Machinery</t>
  </si>
  <si>
    <t>Number of operators</t>
  </si>
  <si>
    <t>Number of new sewing machines</t>
  </si>
  <si>
    <t>Number of new spreading machines</t>
  </si>
  <si>
    <t>Number of new automatic cutters</t>
  </si>
  <si>
    <t>Direct labor cost ($/person/month)</t>
  </si>
  <si>
    <t>Capital Expenditures</t>
  </si>
  <si>
    <t>CUT &amp; SEW PRODUCTION</t>
  </si>
  <si>
    <t>Cut &amp; Sew machinery</t>
  </si>
  <si>
    <t>TOTAL</t>
  </si>
  <si>
    <t>Revenue</t>
  </si>
  <si>
    <t>Direct labor &amp; overheads ($/year)</t>
  </si>
  <si>
    <t>Depreciation ($/year)</t>
  </si>
  <si>
    <t>AUTOMATIC PRODUCTION</t>
  </si>
  <si>
    <t>Automatic machinery</t>
  </si>
  <si>
    <t>Other machinery (lab equipment, etc.)</t>
  </si>
  <si>
    <t>Land, building, contingency</t>
  </si>
  <si>
    <t>Direct wages/person/month + benefits</t>
  </si>
  <si>
    <t>Capital expenditure Cut &amp; Sew machinery</t>
  </si>
  <si>
    <t>Cost of other equipment and machinery (lab equipment, etc.)</t>
  </si>
  <si>
    <t>Capital expenditure land, building, contingency</t>
  </si>
  <si>
    <t>Cost of building, land and contingency</t>
  </si>
  <si>
    <t>Direct labor &amp; production overheads ($/year)</t>
  </si>
  <si>
    <t># of lines x $150,00 for medical/surgical masks, # of lines x $100,000 for respirators</t>
  </si>
  <si>
    <t>Capital expenditure Automatic machinery</t>
  </si>
  <si>
    <t>Capital expenditure Other machinery</t>
  </si>
  <si>
    <t>Direct labor + production overheads ($/year)</t>
  </si>
  <si>
    <t>(Machinery + equipment + ramp up)/10 + (Building + contingency)/20</t>
  </si>
  <si>
    <t># of lines x 10 operators</t>
  </si>
  <si>
    <t>Number of sewing machines</t>
  </si>
  <si>
    <t>Depends on how many current machines can be used and how many new ones need to be purchased</t>
  </si>
  <si>
    <t>IFC PPE CALCULATOR</t>
  </si>
  <si>
    <t>Yellow cells</t>
  </si>
  <si>
    <t>EBIT (Earnings before interest &amp; tax) $/year</t>
  </si>
  <si>
    <t>Working capital Total</t>
  </si>
  <si>
    <t>Capital Expenditure &amp; Working Capital</t>
  </si>
  <si>
    <t>Working capital - receivables</t>
  </si>
  <si>
    <t># of new sewing machines x $3,500 + # of spreading machines x $120,000 + # of computerized cutters x $250,000</t>
  </si>
  <si>
    <t>(Receivable days / 360 days) * Sales per annum</t>
  </si>
  <si>
    <t xml:space="preserve">     (iii) Revenue &amp; EBIT (Earning before interest &amp; tax)</t>
  </si>
  <si>
    <t>*  Non-sterile, bacterial filtering efficiency equal to or greater than 95 %</t>
  </si>
  <si>
    <t>*  2 x 2 tie-straps</t>
  </si>
  <si>
    <t>*  Bacterial filtering efficiency equal to or greater than 98 %</t>
  </si>
  <si>
    <t>*  Compliance with the EN 14683 standard for type II</t>
  </si>
  <si>
    <t>*  Duckbill shape, folded horizontally or width-wise</t>
  </si>
  <si>
    <t>*  Compliance with NIOSH N95, EN 149: 2001/FFP2</t>
  </si>
  <si>
    <t>Line set up, training, sampling, testing, other start-up costs</t>
  </si>
  <si>
    <t>Other operating costs (sales, admininstration, etc.)</t>
  </si>
  <si>
    <t>Number of operators * (wages + benefits) * 11 operating months per year * (1.5 or 2) to cover for production overheads</t>
  </si>
  <si>
    <t>5 % of sales</t>
  </si>
  <si>
    <t>Sales - (materials +direct labor + production overheads + other operating costs + depreciation)</t>
  </si>
  <si>
    <t>Number of operators in automatic lines</t>
  </si>
  <si>
    <t>Other operating costs (sales, administration, etc.)</t>
  </si>
  <si>
    <t>Efficiency</t>
  </si>
  <si>
    <t>Efficiency against standard</t>
  </si>
  <si>
    <t>Training of operators + ramp up cost including product testing and compliance costs</t>
  </si>
  <si>
    <t>Medical Face Mask - Type I</t>
  </si>
  <si>
    <t>*  Single use disposable mask</t>
  </si>
  <si>
    <t>Medical Face Mask - Type II</t>
  </si>
  <si>
    <t>*  Single use disposable masks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</si>
</sst>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6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0" xfId="0" applyBorder="1"/>
    <xf numFmtId="0" fontId="7" fillId="0" borderId="0" xfId="0" applyFont="1"/>
    <xf numFmtId="0" fontId="3" fillId="0" borderId="0" xfId="0" applyFont="1" applyBorder="1"/>
    <xf numFmtId="0" fontId="3" fillId="0" borderId="4" xfId="0" applyFont="1" applyBorder="1"/>
    <xf numFmtId="0" fontId="0" fillId="0" borderId="5" xfId="0" applyBorder="1"/>
    <xf numFmtId="0" fontId="3" fillId="0" borderId="9" xfId="0" applyFont="1" applyBorder="1"/>
    <xf numFmtId="0" fontId="3" fillId="0" borderId="6" xfId="0" applyFont="1" applyBorder="1"/>
    <xf numFmtId="0" fontId="3" fillId="0" borderId="3" xfId="0" applyFont="1" applyBorder="1"/>
    <xf numFmtId="0" fontId="3" fillId="0" borderId="5" xfId="0" applyFont="1" applyBorder="1"/>
    <xf numFmtId="0" fontId="0" fillId="0" borderId="9" xfId="0" applyBorder="1"/>
    <xf numFmtId="0" fontId="0" fillId="0" borderId="6" xfId="0" applyBorder="1"/>
    <xf numFmtId="0" fontId="3" fillId="0" borderId="1" xfId="0" applyFont="1" applyBorder="1"/>
    <xf numFmtId="0" fontId="3" fillId="0" borderId="8" xfId="0" applyFont="1" applyBorder="1"/>
    <xf numFmtId="0" fontId="3" fillId="0" borderId="2" xfId="0" applyFont="1" applyBorder="1"/>
    <xf numFmtId="0" fontId="8" fillId="0" borderId="3" xfId="0" applyFont="1" applyBorder="1"/>
    <xf numFmtId="0" fontId="5" fillId="0" borderId="3" xfId="0" applyFont="1" applyBorder="1"/>
    <xf numFmtId="0" fontId="6" fillId="0" borderId="0" xfId="0" applyFont="1" applyFill="1" applyBorder="1" applyAlignment="1"/>
    <xf numFmtId="0" fontId="9" fillId="0" borderId="1" xfId="0" applyFont="1" applyBorder="1"/>
    <xf numFmtId="0" fontId="9" fillId="0" borderId="8" xfId="0" applyFont="1" applyBorder="1"/>
    <xf numFmtId="0" fontId="9" fillId="0" borderId="2" xfId="0" applyFont="1" applyBorder="1"/>
    <xf numFmtId="0" fontId="9" fillId="0" borderId="3" xfId="0" applyFont="1" applyBorder="1"/>
    <xf numFmtId="0" fontId="9" fillId="0" borderId="0" xfId="0" applyFont="1" applyBorder="1"/>
    <xf numFmtId="0" fontId="9" fillId="0" borderId="4" xfId="0" applyFont="1" applyBorder="1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Protection="1">
      <protection locked="0"/>
    </xf>
    <xf numFmtId="164" fontId="11" fillId="3" borderId="7" xfId="1" applyNumberFormat="1" applyFont="1" applyFill="1" applyBorder="1" applyAlignment="1" applyProtection="1">
      <alignment horizontal="center"/>
      <protection locked="0"/>
    </xf>
    <xf numFmtId="164" fontId="11" fillId="0" borderId="0" xfId="1" applyNumberFormat="1" applyFont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11" fillId="0" borderId="0" xfId="0" applyFont="1" applyProtection="1">
      <protection locked="0"/>
    </xf>
    <xf numFmtId="2" fontId="11" fillId="4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0" fontId="11" fillId="0" borderId="0" xfId="0" applyFont="1" applyFill="1" applyProtection="1"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" fontId="11" fillId="3" borderId="7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Border="1" applyProtection="1">
      <protection locked="0"/>
    </xf>
    <xf numFmtId="0" fontId="11" fillId="3" borderId="7" xfId="0" applyFont="1" applyFill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2" fontId="11" fillId="3" borderId="7" xfId="0" applyNumberFormat="1" applyFont="1" applyFill="1" applyBorder="1" applyAlignment="1" applyProtection="1">
      <alignment horizontal="center"/>
      <protection locked="0"/>
    </xf>
    <xf numFmtId="2" fontId="11" fillId="0" borderId="0" xfId="0" applyNumberFormat="1" applyFont="1" applyAlignment="1" applyProtection="1">
      <alignment horizontal="center"/>
      <protection locked="0"/>
    </xf>
    <xf numFmtId="2" fontId="11" fillId="0" borderId="0" xfId="0" applyNumberFormat="1" applyFont="1" applyProtection="1">
      <protection locked="0"/>
    </xf>
    <xf numFmtId="1" fontId="11" fillId="4" borderId="7" xfId="0" applyNumberFormat="1" applyFont="1" applyFill="1" applyBorder="1" applyAlignment="1" applyProtection="1">
      <alignment horizontal="center"/>
    </xf>
    <xf numFmtId="1" fontId="11" fillId="0" borderId="0" xfId="0" applyNumberFormat="1" applyFont="1" applyAlignment="1" applyProtection="1">
      <alignment horizontal="center"/>
    </xf>
    <xf numFmtId="164" fontId="11" fillId="4" borderId="7" xfId="1" applyNumberFormat="1" applyFont="1" applyFill="1" applyBorder="1" applyProtection="1"/>
    <xf numFmtId="164" fontId="11" fillId="0" borderId="0" xfId="0" applyNumberFormat="1" applyFont="1" applyProtection="1"/>
    <xf numFmtId="0" fontId="11" fillId="0" borderId="0" xfId="0" applyFont="1" applyProtection="1"/>
    <xf numFmtId="0" fontId="11" fillId="4" borderId="7" xfId="0" applyFont="1" applyFill="1" applyBorder="1" applyProtection="1"/>
    <xf numFmtId="164" fontId="11" fillId="4" borderId="0" xfId="1" applyNumberFormat="1" applyFont="1" applyFill="1" applyBorder="1" applyProtection="1"/>
    <xf numFmtId="0" fontId="11" fillId="4" borderId="0" xfId="0" applyFont="1" applyFill="1" applyBorder="1" applyProtection="1"/>
    <xf numFmtId="164" fontId="11" fillId="4" borderId="7" xfId="0" applyNumberFormat="1" applyFont="1" applyFill="1" applyBorder="1" applyAlignment="1" applyProtection="1"/>
    <xf numFmtId="164" fontId="11" fillId="0" borderId="0" xfId="0" applyNumberFormat="1" applyFont="1" applyAlignment="1" applyProtection="1"/>
    <xf numFmtId="0" fontId="11" fillId="0" borderId="0" xfId="0" applyFont="1" applyAlignment="1" applyProtection="1"/>
    <xf numFmtId="0" fontId="11" fillId="4" borderId="7" xfId="0" applyFont="1" applyFill="1" applyBorder="1" applyAlignment="1" applyProtection="1"/>
    <xf numFmtId="164" fontId="11" fillId="0" borderId="0" xfId="0" applyNumberFormat="1" applyFont="1" applyFill="1" applyBorder="1" applyAlignment="1" applyProtection="1"/>
    <xf numFmtId="164" fontId="11" fillId="0" borderId="0" xfId="0" applyNumberFormat="1" applyFont="1" applyFill="1" applyAlignment="1" applyProtection="1"/>
    <xf numFmtId="0" fontId="11" fillId="0" borderId="0" xfId="0" applyFont="1" applyFill="1" applyAlignment="1" applyProtection="1"/>
    <xf numFmtId="0" fontId="11" fillId="0" borderId="0" xfId="0" applyFont="1" applyFill="1" applyBorder="1" applyAlignment="1" applyProtection="1"/>
    <xf numFmtId="164" fontId="11" fillId="0" borderId="0" xfId="1" applyNumberFormat="1" applyFont="1" applyProtection="1">
      <protection locked="0"/>
    </xf>
    <xf numFmtId="164" fontId="11" fillId="4" borderId="7" xfId="0" applyNumberFormat="1" applyFont="1" applyFill="1" applyBorder="1" applyProtection="1">
      <protection locked="0"/>
    </xf>
    <xf numFmtId="164" fontId="11" fillId="0" borderId="0" xfId="1" applyNumberFormat="1" applyFont="1" applyFill="1" applyBorder="1" applyProtection="1">
      <protection locked="0"/>
    </xf>
    <xf numFmtId="164" fontId="11" fillId="0" borderId="0" xfId="1" applyNumberFormat="1" applyFont="1" applyFill="1" applyProtection="1">
      <protection locked="0"/>
    </xf>
    <xf numFmtId="0" fontId="0" fillId="0" borderId="0" xfId="0" applyFill="1" applyProtection="1">
      <protection locked="0"/>
    </xf>
    <xf numFmtId="164" fontId="11" fillId="0" borderId="0" xfId="0" applyNumberFormat="1" applyFont="1" applyFill="1" applyBorder="1" applyProtection="1">
      <protection locked="0"/>
    </xf>
    <xf numFmtId="164" fontId="11" fillId="3" borderId="7" xfId="1" applyNumberFormat="1" applyFont="1" applyFill="1" applyBorder="1" applyProtection="1">
      <protection locked="0"/>
    </xf>
    <xf numFmtId="164" fontId="11" fillId="0" borderId="0" xfId="0" applyNumberFormat="1" applyFont="1" applyFill="1" applyProtection="1">
      <protection locked="0"/>
    </xf>
    <xf numFmtId="164" fontId="11" fillId="0" borderId="0" xfId="1" applyNumberFormat="1" applyFont="1" applyFill="1" applyBorder="1" applyAlignment="1" applyProtection="1">
      <alignment horizontal="right"/>
      <protection locked="0"/>
    </xf>
    <xf numFmtId="164" fontId="11" fillId="0" borderId="0" xfId="1" applyNumberFormat="1" applyFont="1" applyFill="1" applyAlignment="1" applyProtection="1">
      <alignment horizontal="right"/>
      <protection locked="0"/>
    </xf>
    <xf numFmtId="164" fontId="0" fillId="0" borderId="0" xfId="0" applyNumberFormat="1" applyFill="1" applyBorder="1" applyProtection="1">
      <protection locked="0"/>
    </xf>
    <xf numFmtId="164" fontId="11" fillId="0" borderId="0" xfId="1" applyNumberFormat="1" applyFont="1" applyProtection="1"/>
    <xf numFmtId="0" fontId="0" fillId="0" borderId="0" xfId="0" applyProtection="1"/>
    <xf numFmtId="164" fontId="11" fillId="4" borderId="7" xfId="0" applyNumberFormat="1" applyFont="1" applyFill="1" applyBorder="1" applyProtection="1"/>
    <xf numFmtId="0" fontId="0" fillId="0" borderId="0" xfId="0" applyFill="1" applyProtection="1"/>
    <xf numFmtId="164" fontId="11" fillId="0" borderId="0" xfId="0" applyNumberFormat="1" applyFont="1" applyFill="1" applyBorder="1" applyProtection="1"/>
    <xf numFmtId="164" fontId="11" fillId="0" borderId="0" xfId="1" applyNumberFormat="1" applyFont="1" applyFill="1" applyBorder="1" applyProtection="1"/>
    <xf numFmtId="164" fontId="11" fillId="0" borderId="0" xfId="1" applyNumberFormat="1" applyFont="1" applyFill="1" applyProtection="1"/>
    <xf numFmtId="164" fontId="11" fillId="0" borderId="0" xfId="0" applyNumberFormat="1" applyFont="1" applyFill="1" applyProtection="1"/>
    <xf numFmtId="0" fontId="11" fillId="0" borderId="0" xfId="0" applyFont="1" applyFill="1" applyProtection="1"/>
    <xf numFmtId="164" fontId="11" fillId="4" borderId="7" xfId="1" applyNumberFormat="1" applyFont="1" applyFill="1" applyBorder="1" applyAlignment="1" applyProtection="1">
      <alignment horizontal="right"/>
    </xf>
    <xf numFmtId="164" fontId="11" fillId="0" borderId="0" xfId="0" applyNumberFormat="1" applyFont="1" applyAlignment="1" applyProtection="1">
      <alignment horizontal="right"/>
    </xf>
    <xf numFmtId="164" fontId="11" fillId="0" borderId="0" xfId="1" applyNumberFormat="1" applyFont="1" applyAlignment="1" applyProtection="1">
      <alignment horizontal="right"/>
    </xf>
    <xf numFmtId="164" fontId="11" fillId="0" borderId="0" xfId="0" applyNumberFormat="1" applyFont="1" applyFill="1" applyBorder="1" applyAlignment="1" applyProtection="1">
      <alignment horizontal="right"/>
    </xf>
    <xf numFmtId="164" fontId="11" fillId="0" borderId="0" xfId="0" applyNumberFormat="1" applyFont="1" applyFill="1" applyAlignment="1" applyProtection="1">
      <alignment horizontal="right"/>
    </xf>
    <xf numFmtId="164" fontId="11" fillId="0" borderId="0" xfId="1" applyNumberFormat="1" applyFont="1" applyFill="1" applyBorder="1" applyAlignment="1" applyProtection="1">
      <alignment horizontal="right"/>
    </xf>
    <xf numFmtId="164" fontId="11" fillId="0" borderId="0" xfId="1" applyNumberFormat="1" applyFont="1" applyFill="1" applyAlignment="1" applyProtection="1">
      <alignment horizontal="right"/>
    </xf>
    <xf numFmtId="164" fontId="0" fillId="0" borderId="0" xfId="0" applyNumberFormat="1" applyFill="1" applyBorder="1" applyProtection="1"/>
    <xf numFmtId="0" fontId="12" fillId="0" borderId="0" xfId="0" applyFont="1" applyAlignment="1" applyProtection="1">
      <alignment horizontal="center"/>
    </xf>
    <xf numFmtId="0" fontId="3" fillId="3" borderId="7" xfId="0" applyFont="1" applyFill="1" applyBorder="1" applyProtection="1"/>
    <xf numFmtId="0" fontId="3" fillId="0" borderId="0" xfId="0" quotePrefix="1" applyFont="1" applyProtection="1"/>
    <xf numFmtId="0" fontId="3" fillId="4" borderId="7" xfId="0" applyFont="1" applyFill="1" applyBorder="1" applyProtection="1"/>
    <xf numFmtId="0" fontId="3" fillId="0" borderId="0" xfId="0" applyFont="1" applyProtection="1"/>
    <xf numFmtId="0" fontId="7" fillId="0" borderId="0" xfId="0" applyFont="1" applyProtection="1"/>
    <xf numFmtId="0" fontId="4" fillId="2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3" fillId="0" borderId="0" xfId="0" applyFont="1" applyProtection="1"/>
    <xf numFmtId="2" fontId="11" fillId="0" borderId="0" xfId="0" applyNumberFormat="1" applyFont="1" applyFill="1" applyBorder="1" applyAlignment="1" applyProtection="1">
      <alignment horizontal="center"/>
      <protection locked="0"/>
    </xf>
    <xf numFmtId="9" fontId="11" fillId="3" borderId="7" xfId="2" applyFont="1" applyFill="1" applyBorder="1" applyAlignment="1" applyProtection="1">
      <alignment horizontal="center"/>
      <protection locked="0"/>
    </xf>
    <xf numFmtId="9" fontId="11" fillId="4" borderId="0" xfId="2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emf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69851</xdr:colOff>
      <xdr:row>3</xdr:row>
      <xdr:rowOff>76200</xdr:rowOff>
    </xdr:from>
    <xdr:to>
      <xdr:col>12</xdr:col>
      <xdr:colOff>482601</xdr:colOff>
      <xdr:row>5</xdr:row>
      <xdr:rowOff>107054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7675C6B-8437-4066-81BB-38DE00A75D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56251" y="774700"/>
          <a:ext cx="2241550" cy="399154"/>
        </a:xfrm>
        <a:prstGeom prst="rect">
          <a:avLst/>
        </a:prstGeom>
        <a:solidFill>
          <a:schemeClr val="bg1"/>
        </a:solidFill>
        <a:effectLst>
          <a:outerShdw blurRad="50800" dist="50800" sx="1000" sy="1000" algn="ctr" rotWithShape="0">
            <a:schemeClr val="bg1"/>
          </a:outerShdw>
        </a:effectLst>
        <a:scene3d>
          <a:camera prst="orthographicFront"/>
          <a:lightRig rig="flat" dir="t"/>
        </a:scene3d>
        <a:sp3d/>
      </xdr:spPr>
    </xdr:pic>
    <xdr:clientData/>
  </xdr:twoCellAnchor>
  <xdr:twoCellAnchor editAs="oneCell">
    <xdr:from>
      <xdr:col>4</xdr:col>
      <xdr:colOff>317501</xdr:colOff>
      <xdr:row>14</xdr:row>
      <xdr:rowOff>177800</xdr:rowOff>
    </xdr:from>
    <xdr:to>
      <xdr:col>6</xdr:col>
      <xdr:colOff>476251</xdr:colOff>
      <xdr:row>19</xdr:row>
      <xdr:rowOff>174787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CE6F346-7AB4-4B87-B106-17EC120A27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5901" y="3086100"/>
          <a:ext cx="1377950" cy="917737"/>
        </a:xfrm>
        <a:prstGeom prst="rect">
          <a:avLst/>
        </a:prstGeom>
      </xdr:spPr>
    </xdr:pic>
    <xdr:clientData/>
  </xdr:twoCellAnchor>
  <xdr:twoCellAnchor editAs="oneCell">
    <xdr:from>
      <xdr:col>5</xdr:col>
      <xdr:colOff>25400</xdr:colOff>
      <xdr:row>22</xdr:row>
      <xdr:rowOff>0</xdr:rowOff>
    </xdr:from>
    <xdr:to>
      <xdr:col>6</xdr:col>
      <xdr:colOff>304800</xdr:colOff>
      <xdr:row>26</xdr:row>
      <xdr:rowOff>152400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5C97498-6869-487B-9784-7E73F4F5A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3400" y="4381500"/>
          <a:ext cx="889000" cy="889000"/>
        </a:xfrm>
        <a:prstGeom prst="rect">
          <a:avLst/>
        </a:prstGeom>
      </xdr:spPr>
    </xdr:pic>
    <xdr:clientData/>
  </xdr:twoCellAnchor>
  <xdr:twoCellAnchor editAs="oneCell">
    <xdr:from>
      <xdr:col>4</xdr:col>
      <xdr:colOff>546101</xdr:colOff>
      <xdr:row>30</xdr:row>
      <xdr:rowOff>31751</xdr:rowOff>
    </xdr:from>
    <xdr:to>
      <xdr:col>6</xdr:col>
      <xdr:colOff>393701</xdr:colOff>
      <xdr:row>35</xdr:row>
      <xdr:rowOff>177801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0D679A0-E44C-4AB9-9A01-73483286A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984501" y="6254751"/>
          <a:ext cx="1066800" cy="1066800"/>
        </a:xfrm>
        <a:prstGeom prst="rect">
          <a:avLst/>
        </a:prstGeom>
      </xdr:spPr>
    </xdr:pic>
    <xdr:clientData/>
  </xdr:twoCellAnchor>
  <xdr:twoCellAnchor editAs="oneCell">
    <xdr:from>
      <xdr:col>5</xdr:col>
      <xdr:colOff>125763</xdr:colOff>
      <xdr:row>35</xdr:row>
      <xdr:rowOff>82549</xdr:rowOff>
    </xdr:from>
    <xdr:to>
      <xdr:col>6</xdr:col>
      <xdr:colOff>355600</xdr:colOff>
      <xdr:row>40</xdr:row>
      <xdr:rowOff>48431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6347303-F814-4E66-A88F-AC1785664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3763" y="7226299"/>
          <a:ext cx="839437" cy="886632"/>
        </a:xfrm>
        <a:prstGeom prst="rect">
          <a:avLst/>
        </a:prstGeom>
      </xdr:spPr>
    </xdr:pic>
    <xdr:clientData/>
  </xdr:twoCellAnchor>
  <xdr:twoCellAnchor editAs="oneCell">
    <xdr:from>
      <xdr:col>10</xdr:col>
      <xdr:colOff>570166</xdr:colOff>
      <xdr:row>15</xdr:row>
      <xdr:rowOff>25400</xdr:rowOff>
    </xdr:from>
    <xdr:to>
      <xdr:col>12</xdr:col>
      <xdr:colOff>562160</xdr:colOff>
      <xdr:row>21</xdr:row>
      <xdr:rowOff>127000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A70D2C8A-906E-4B9C-B17A-E708539C6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66166" y="3486150"/>
          <a:ext cx="1211194" cy="120650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26</xdr:row>
      <xdr:rowOff>82550</xdr:rowOff>
    </xdr:from>
    <xdr:to>
      <xdr:col>12</xdr:col>
      <xdr:colOff>581409</xdr:colOff>
      <xdr:row>33</xdr:row>
      <xdr:rowOff>114699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7E8631E8-1BE9-41B7-801B-3A89C969E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705600" y="5016500"/>
          <a:ext cx="1191009" cy="1321199"/>
        </a:xfrm>
        <a:prstGeom prst="rect">
          <a:avLst/>
        </a:prstGeom>
      </xdr:spPr>
    </xdr:pic>
    <xdr:clientData/>
  </xdr:twoCellAnchor>
  <xdr:oneCellAnchor>
    <xdr:from>
      <xdr:col>4</xdr:col>
      <xdr:colOff>317501</xdr:colOff>
      <xdr:row>14</xdr:row>
      <xdr:rowOff>177800</xdr:rowOff>
    </xdr:from>
    <xdr:ext cx="1377950" cy="917737"/>
    <xdr:pic>
      <xdr:nvPicPr>
        <xdr:cNvPr id="11" name="Picture 10">
          <a:extLst>
            <a:ext uri="{FF2B5EF4-FFF2-40B4-BE49-F238E27FC236}">
              <a16:creationId xmlns:a16="http://schemas.microsoft.com/office/drawing/2014/main" id="{946F186D-BEFA-4531-82DE-703EF6AFA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5901" y="2901950"/>
          <a:ext cx="1377950" cy="917737"/>
        </a:xfrm>
        <a:prstGeom prst="rect">
          <a:avLst/>
        </a:prstGeom>
      </xdr:spPr>
    </xdr:pic>
    <xdr:clientData/>
  </xdr:oneCellAnchor>
  <xdr:oneCellAnchor>
    <xdr:from>
      <xdr:col>5</xdr:col>
      <xdr:colOff>25400</xdr:colOff>
      <xdr:row>22</xdr:row>
      <xdr:rowOff>0</xdr:rowOff>
    </xdr:from>
    <xdr:ext cx="889000" cy="889000"/>
    <xdr:pic>
      <xdr:nvPicPr>
        <xdr:cNvPr id="12" name="Picture 11">
          <a:extLst>
            <a:ext uri="{FF2B5EF4-FFF2-40B4-BE49-F238E27FC236}">
              <a16:creationId xmlns:a16="http://schemas.microsoft.com/office/drawing/2014/main" id="{88594E49-440B-4085-A7D8-72D0C2297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3400" y="4197350"/>
          <a:ext cx="889000" cy="889000"/>
        </a:xfrm>
        <a:prstGeom prst="rect">
          <a:avLst/>
        </a:prstGeom>
      </xdr:spPr>
    </xdr:pic>
    <xdr:clientData/>
  </xdr:oneCellAnchor>
  <xdr:oneCellAnchor>
    <xdr:from>
      <xdr:col>4</xdr:col>
      <xdr:colOff>546101</xdr:colOff>
      <xdr:row>30</xdr:row>
      <xdr:rowOff>31751</xdr:rowOff>
    </xdr:from>
    <xdr:ext cx="1066800" cy="1066800"/>
    <xdr:pic>
      <xdr:nvPicPr>
        <xdr:cNvPr id="13" name="Picture 12">
          <a:extLst>
            <a:ext uri="{FF2B5EF4-FFF2-40B4-BE49-F238E27FC236}">
              <a16:creationId xmlns:a16="http://schemas.microsoft.com/office/drawing/2014/main" id="{3F95960A-8502-4A10-A1CE-562F23C3D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984501" y="5702301"/>
          <a:ext cx="1066800" cy="1066800"/>
        </a:xfrm>
        <a:prstGeom prst="rect">
          <a:avLst/>
        </a:prstGeom>
      </xdr:spPr>
    </xdr:pic>
    <xdr:clientData/>
  </xdr:oneCellAnchor>
  <xdr:oneCellAnchor>
    <xdr:from>
      <xdr:col>5</xdr:col>
      <xdr:colOff>125763</xdr:colOff>
      <xdr:row>35</xdr:row>
      <xdr:rowOff>82549</xdr:rowOff>
    </xdr:from>
    <xdr:ext cx="839437" cy="886632"/>
    <xdr:pic>
      <xdr:nvPicPr>
        <xdr:cNvPr id="14" name="Picture 13">
          <a:extLst>
            <a:ext uri="{FF2B5EF4-FFF2-40B4-BE49-F238E27FC236}">
              <a16:creationId xmlns:a16="http://schemas.microsoft.com/office/drawing/2014/main" id="{F332FAA4-B294-4CF2-946D-DBEFF7D6B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3763" y="6673849"/>
          <a:ext cx="839437" cy="886632"/>
        </a:xfrm>
        <a:prstGeom prst="rect">
          <a:avLst/>
        </a:prstGeom>
      </xdr:spPr>
    </xdr:pic>
    <xdr:clientData/>
  </xdr:oneCellAnchor>
  <xdr:oneCellAnchor>
    <xdr:from>
      <xdr:col>10</xdr:col>
      <xdr:colOff>570166</xdr:colOff>
      <xdr:row>15</xdr:row>
      <xdr:rowOff>25400</xdr:rowOff>
    </xdr:from>
    <xdr:ext cx="1211194" cy="1206500"/>
    <xdr:pic>
      <xdr:nvPicPr>
        <xdr:cNvPr id="15" name="Picture 14">
          <a:extLst>
            <a:ext uri="{FF2B5EF4-FFF2-40B4-BE49-F238E27FC236}">
              <a16:creationId xmlns:a16="http://schemas.microsoft.com/office/drawing/2014/main" id="{C42E8D0A-9B3A-4641-9AED-625AA854B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66166" y="2933700"/>
          <a:ext cx="1211194" cy="1206500"/>
        </a:xfrm>
        <a:prstGeom prst="rect">
          <a:avLst/>
        </a:prstGeom>
      </xdr:spPr>
    </xdr:pic>
    <xdr:clientData/>
  </xdr:oneCellAnchor>
  <xdr:twoCellAnchor editAs="oneCell">
    <xdr:from>
      <xdr:col>1</xdr:col>
      <xdr:colOff>127000</xdr:colOff>
      <xdr:row>2</xdr:row>
      <xdr:rowOff>69850</xdr:rowOff>
    </xdr:from>
    <xdr:to>
      <xdr:col>8</xdr:col>
      <xdr:colOff>463550</xdr:colOff>
      <xdr:row>6</xdr:row>
      <xdr:rowOff>101600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BED5AFD8-7E2C-45FD-8ADA-4365BDADE3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" y="584200"/>
          <a:ext cx="4603750" cy="76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60434-FE57-46BD-B41E-FDA8F70BE40C}">
  <dimension ref="A1:AE52"/>
  <sheetViews>
    <sheetView showGridLines="0" tabSelected="1" workbookViewId="0">
      <selection activeCell="N1" sqref="N1"/>
    </sheetView>
  </sheetViews>
  <sheetFormatPr defaultRowHeight="14.5" x14ac:dyDescent="0.35"/>
  <sheetData>
    <row r="1" spans="1:31" ht="26" x14ac:dyDescent="0.6">
      <c r="B1" s="108" t="s">
        <v>132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10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4"/>
      <c r="AE1" s="4"/>
    </row>
    <row r="2" spans="1:31" x14ac:dyDescent="0.35">
      <c r="B2" s="111" t="s">
        <v>57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3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4"/>
      <c r="AE2" s="4"/>
    </row>
    <row r="3" spans="1:31" x14ac:dyDescent="0.35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4"/>
    </row>
    <row r="4" spans="1:31" x14ac:dyDescent="0.35">
      <c r="B4" s="25"/>
      <c r="C4" s="26"/>
      <c r="D4" s="26"/>
      <c r="E4" s="26"/>
      <c r="F4" s="26"/>
      <c r="G4" s="26"/>
      <c r="H4" s="26"/>
      <c r="I4" s="26"/>
      <c r="J4" s="26"/>
      <c r="K4" s="26"/>
      <c r="L4" s="26"/>
      <c r="M4" s="27"/>
    </row>
    <row r="5" spans="1:31" x14ac:dyDescent="0.35">
      <c r="B5" s="2"/>
      <c r="C5" s="5"/>
      <c r="D5" s="5"/>
      <c r="E5" s="5"/>
      <c r="F5" s="5"/>
      <c r="G5" s="5"/>
      <c r="H5" s="5"/>
      <c r="I5" s="5"/>
      <c r="J5" s="5"/>
      <c r="K5" s="5"/>
      <c r="L5" s="5"/>
      <c r="M5" s="3"/>
    </row>
    <row r="6" spans="1:31" x14ac:dyDescent="0.35">
      <c r="B6" s="2"/>
      <c r="C6" s="5"/>
      <c r="D6" s="5"/>
      <c r="E6" s="5"/>
      <c r="F6" s="5"/>
      <c r="G6" s="5"/>
      <c r="H6" s="5"/>
      <c r="I6" s="5"/>
      <c r="J6" s="5"/>
      <c r="K6" s="5"/>
      <c r="L6" s="5"/>
      <c r="M6" s="3"/>
    </row>
    <row r="7" spans="1:31" x14ac:dyDescent="0.35">
      <c r="B7" s="2"/>
      <c r="C7" s="5"/>
      <c r="D7" s="5"/>
      <c r="E7" s="5"/>
      <c r="F7" s="5"/>
      <c r="G7" s="5"/>
      <c r="H7" s="5"/>
      <c r="I7" s="5"/>
      <c r="J7" s="5"/>
      <c r="K7" s="5"/>
      <c r="L7" s="5"/>
      <c r="M7" s="3"/>
    </row>
    <row r="8" spans="1:31" x14ac:dyDescent="0.35">
      <c r="A8" s="28"/>
      <c r="B8" s="114" t="s">
        <v>7</v>
      </c>
      <c r="C8" s="115"/>
      <c r="D8" s="115"/>
      <c r="E8" s="115"/>
      <c r="F8" s="115"/>
      <c r="G8" s="115"/>
      <c r="H8" s="115" t="s">
        <v>8</v>
      </c>
      <c r="I8" s="115"/>
      <c r="J8" s="115"/>
      <c r="K8" s="115"/>
      <c r="L8" s="115"/>
      <c r="M8" s="116"/>
      <c r="P8" s="28"/>
    </row>
    <row r="9" spans="1:31" x14ac:dyDescent="0.35">
      <c r="B9" s="2"/>
      <c r="C9" s="7" t="s">
        <v>9</v>
      </c>
      <c r="D9" s="7"/>
      <c r="E9" s="7"/>
      <c r="F9" s="7"/>
      <c r="G9" s="7"/>
      <c r="H9" s="7"/>
      <c r="I9" s="7" t="s">
        <v>12</v>
      </c>
      <c r="J9" s="7"/>
      <c r="K9" s="7"/>
      <c r="L9" s="7"/>
      <c r="M9" s="8"/>
    </row>
    <row r="10" spans="1:31" x14ac:dyDescent="0.35">
      <c r="B10" s="2"/>
      <c r="C10" s="7" t="s">
        <v>10</v>
      </c>
      <c r="D10" s="7"/>
      <c r="E10" s="7"/>
      <c r="F10" s="7"/>
      <c r="G10" s="7"/>
      <c r="H10" s="7"/>
      <c r="I10" s="7" t="s">
        <v>13</v>
      </c>
      <c r="J10" s="7"/>
      <c r="K10" s="7"/>
      <c r="L10" s="7"/>
      <c r="M10" s="8"/>
    </row>
    <row r="11" spans="1:31" x14ac:dyDescent="0.35">
      <c r="B11" s="2"/>
      <c r="C11" s="7" t="s">
        <v>11</v>
      </c>
      <c r="D11" s="7"/>
      <c r="E11" s="7"/>
      <c r="F11" s="7"/>
      <c r="G11" s="7"/>
      <c r="H11" s="7"/>
      <c r="I11" s="7" t="s">
        <v>14</v>
      </c>
      <c r="J11" s="7"/>
      <c r="K11" s="7"/>
      <c r="L11" s="7"/>
      <c r="M11" s="8"/>
    </row>
    <row r="12" spans="1:31" x14ac:dyDescent="0.35">
      <c r="B12" s="9"/>
      <c r="C12" s="10" t="s">
        <v>140</v>
      </c>
      <c r="D12" s="10"/>
      <c r="E12" s="10"/>
      <c r="F12" s="10"/>
      <c r="G12" s="10"/>
      <c r="H12" s="10"/>
      <c r="I12" s="10" t="s">
        <v>15</v>
      </c>
      <c r="J12" s="10"/>
      <c r="K12" s="10"/>
      <c r="L12" s="10"/>
      <c r="M12" s="11"/>
      <c r="O12" s="98"/>
    </row>
    <row r="13" spans="1:31" x14ac:dyDescent="0.35">
      <c r="B13" s="5" t="s">
        <v>30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31" x14ac:dyDescent="0.35">
      <c r="B14" s="16"/>
      <c r="C14" s="17"/>
      <c r="D14" s="17"/>
      <c r="E14" s="17"/>
      <c r="F14" s="17"/>
      <c r="G14" s="18"/>
      <c r="H14" s="16"/>
      <c r="I14" s="17"/>
      <c r="J14" s="17"/>
      <c r="K14" s="17"/>
      <c r="L14" s="17"/>
      <c r="M14" s="18"/>
    </row>
    <row r="15" spans="1:31" x14ac:dyDescent="0.35">
      <c r="B15" s="114" t="s">
        <v>16</v>
      </c>
      <c r="C15" s="115"/>
      <c r="D15" s="115"/>
      <c r="E15" s="115"/>
      <c r="F15" s="115"/>
      <c r="G15" s="116"/>
      <c r="H15" s="114" t="s">
        <v>17</v>
      </c>
      <c r="I15" s="115"/>
      <c r="J15" s="115"/>
      <c r="K15" s="115"/>
      <c r="L15" s="115"/>
      <c r="M15" s="116"/>
    </row>
    <row r="16" spans="1:31" x14ac:dyDescent="0.35">
      <c r="B16" s="19" t="s">
        <v>157</v>
      </c>
      <c r="C16" s="5"/>
      <c r="D16" s="5"/>
      <c r="E16" s="5"/>
      <c r="F16" s="5"/>
      <c r="G16" s="3"/>
      <c r="H16" s="20" t="s">
        <v>31</v>
      </c>
      <c r="I16" s="5"/>
      <c r="J16" s="5"/>
      <c r="K16" s="5"/>
      <c r="L16" s="5"/>
      <c r="M16" s="3"/>
    </row>
    <row r="17" spans="2:13" x14ac:dyDescent="0.35">
      <c r="B17" s="12" t="s">
        <v>158</v>
      </c>
      <c r="C17" s="5"/>
      <c r="D17" s="5"/>
      <c r="E17" s="5"/>
      <c r="F17" s="5"/>
      <c r="G17" s="3"/>
      <c r="H17" s="12" t="s">
        <v>32</v>
      </c>
      <c r="I17" s="5"/>
      <c r="J17" s="5"/>
      <c r="K17" s="5"/>
      <c r="L17" s="5"/>
      <c r="M17" s="3"/>
    </row>
    <row r="18" spans="2:13" x14ac:dyDescent="0.35">
      <c r="B18" s="12" t="s">
        <v>18</v>
      </c>
      <c r="C18" s="5"/>
      <c r="D18" s="5"/>
      <c r="E18" s="5"/>
      <c r="F18" s="5"/>
      <c r="G18" s="3"/>
      <c r="H18" s="12" t="s">
        <v>92</v>
      </c>
      <c r="I18" s="5"/>
      <c r="J18" s="5"/>
      <c r="K18" s="5"/>
      <c r="L18" s="5"/>
      <c r="M18" s="3"/>
    </row>
    <row r="19" spans="2:13" x14ac:dyDescent="0.35">
      <c r="B19" s="12" t="s">
        <v>20</v>
      </c>
      <c r="C19" s="5"/>
      <c r="D19" s="5"/>
      <c r="E19" s="5"/>
      <c r="F19" s="5"/>
      <c r="G19" s="3"/>
      <c r="H19" s="12" t="s">
        <v>33</v>
      </c>
      <c r="I19" s="5"/>
      <c r="J19" s="5"/>
      <c r="K19" s="5"/>
      <c r="L19" s="5"/>
      <c r="M19" s="3"/>
    </row>
    <row r="20" spans="2:13" x14ac:dyDescent="0.35">
      <c r="B20" s="12" t="s">
        <v>24</v>
      </c>
      <c r="C20" s="5"/>
      <c r="D20" s="5"/>
      <c r="E20" s="5"/>
      <c r="F20" s="5"/>
      <c r="G20" s="3"/>
      <c r="H20" s="12" t="s">
        <v>34</v>
      </c>
      <c r="I20" s="5"/>
      <c r="J20" s="5"/>
      <c r="K20" s="5"/>
      <c r="L20" s="5"/>
      <c r="M20" s="3"/>
    </row>
    <row r="21" spans="2:13" x14ac:dyDescent="0.35">
      <c r="B21" s="12" t="s">
        <v>141</v>
      </c>
      <c r="C21" s="5"/>
      <c r="D21" s="5"/>
      <c r="E21" s="5"/>
      <c r="F21" s="5"/>
      <c r="G21" s="3"/>
      <c r="H21" s="12" t="s">
        <v>35</v>
      </c>
      <c r="I21" s="5"/>
      <c r="J21" s="5"/>
      <c r="K21" s="5"/>
      <c r="L21" s="5"/>
      <c r="M21" s="3"/>
    </row>
    <row r="22" spans="2:13" x14ac:dyDescent="0.35">
      <c r="B22" s="2"/>
      <c r="C22" s="5"/>
      <c r="D22" s="5"/>
      <c r="E22" s="5"/>
      <c r="F22" s="5"/>
      <c r="G22" s="3"/>
      <c r="H22" s="12" t="s">
        <v>36</v>
      </c>
      <c r="I22" s="5"/>
      <c r="J22" s="5"/>
      <c r="K22" s="5"/>
      <c r="L22" s="5"/>
      <c r="M22" s="3"/>
    </row>
    <row r="23" spans="2:13" x14ac:dyDescent="0.35">
      <c r="B23" s="20" t="s">
        <v>159</v>
      </c>
      <c r="C23" s="5"/>
      <c r="D23" s="5"/>
      <c r="E23" s="5"/>
      <c r="F23" s="5"/>
      <c r="G23" s="3"/>
      <c r="H23" s="12" t="s">
        <v>37</v>
      </c>
      <c r="I23" s="5"/>
      <c r="J23" s="5"/>
      <c r="K23" s="5"/>
      <c r="L23" s="5"/>
      <c r="M23" s="3"/>
    </row>
    <row r="24" spans="2:13" x14ac:dyDescent="0.35">
      <c r="B24" s="12" t="s">
        <v>160</v>
      </c>
      <c r="C24" s="5"/>
      <c r="D24" s="5"/>
      <c r="E24" s="5"/>
      <c r="F24" s="5"/>
      <c r="G24" s="3"/>
      <c r="H24" s="12" t="s">
        <v>38</v>
      </c>
      <c r="I24" s="5"/>
      <c r="J24" s="5"/>
      <c r="K24" s="5"/>
      <c r="L24" s="5"/>
      <c r="M24" s="3"/>
    </row>
    <row r="25" spans="2:13" x14ac:dyDescent="0.35">
      <c r="B25" s="12" t="s">
        <v>19</v>
      </c>
      <c r="C25" s="5"/>
      <c r="D25" s="5"/>
      <c r="E25" s="5"/>
      <c r="F25" s="5"/>
      <c r="G25" s="3"/>
      <c r="H25" s="12" t="s">
        <v>93</v>
      </c>
      <c r="I25" s="5"/>
      <c r="J25" s="5"/>
      <c r="K25" s="5"/>
      <c r="L25" s="5"/>
      <c r="M25" s="3"/>
    </row>
    <row r="26" spans="2:13" x14ac:dyDescent="0.35">
      <c r="B26" s="12" t="s">
        <v>20</v>
      </c>
      <c r="C26" s="5"/>
      <c r="D26" s="5"/>
      <c r="E26" s="5"/>
      <c r="F26" s="5"/>
      <c r="G26" s="3"/>
      <c r="H26" s="12"/>
      <c r="I26" s="5"/>
      <c r="J26" s="5"/>
      <c r="K26" s="5"/>
      <c r="L26" s="5"/>
      <c r="M26" s="3"/>
    </row>
    <row r="27" spans="2:13" x14ac:dyDescent="0.35">
      <c r="B27" s="12" t="s">
        <v>142</v>
      </c>
      <c r="C27" s="5"/>
      <c r="D27" s="5"/>
      <c r="E27" s="5"/>
      <c r="F27" s="5"/>
      <c r="G27" s="3"/>
      <c r="H27" s="20" t="s">
        <v>39</v>
      </c>
      <c r="I27" s="5"/>
      <c r="J27" s="5"/>
      <c r="K27" s="5"/>
      <c r="L27" s="5"/>
      <c r="M27" s="3"/>
    </row>
    <row r="28" spans="2:13" x14ac:dyDescent="0.35">
      <c r="B28" s="12" t="s">
        <v>143</v>
      </c>
      <c r="C28" s="5"/>
      <c r="D28" s="5"/>
      <c r="E28" s="5"/>
      <c r="F28" s="5"/>
      <c r="G28" s="3"/>
      <c r="H28" s="12" t="s">
        <v>40</v>
      </c>
      <c r="I28" s="5"/>
      <c r="J28" s="5"/>
      <c r="K28" s="5"/>
      <c r="L28" s="5"/>
      <c r="M28" s="3"/>
    </row>
    <row r="29" spans="2:13" x14ac:dyDescent="0.35">
      <c r="B29" s="12" t="s">
        <v>144</v>
      </c>
      <c r="C29" s="5"/>
      <c r="D29" s="5"/>
      <c r="E29" s="5"/>
      <c r="F29" s="5"/>
      <c r="G29" s="3"/>
      <c r="H29" s="12" t="s">
        <v>41</v>
      </c>
      <c r="I29" s="5"/>
      <c r="J29" s="5"/>
      <c r="K29" s="5"/>
      <c r="L29" s="5"/>
      <c r="M29" s="3"/>
    </row>
    <row r="30" spans="2:13" x14ac:dyDescent="0.35">
      <c r="B30" s="12"/>
      <c r="C30" s="5"/>
      <c r="D30" s="5"/>
      <c r="E30" s="5"/>
      <c r="F30" s="5"/>
      <c r="G30" s="3"/>
      <c r="H30" s="12" t="s">
        <v>94</v>
      </c>
      <c r="I30" s="5"/>
      <c r="J30" s="5"/>
      <c r="K30" s="5"/>
      <c r="L30" s="5"/>
      <c r="M30" s="3"/>
    </row>
    <row r="31" spans="2:13" x14ac:dyDescent="0.35">
      <c r="B31" s="20" t="s">
        <v>21</v>
      </c>
      <c r="C31" s="5"/>
      <c r="D31" s="5"/>
      <c r="E31" s="5"/>
      <c r="F31" s="5"/>
      <c r="G31" s="3"/>
      <c r="H31" s="12" t="s">
        <v>42</v>
      </c>
      <c r="I31" s="5"/>
      <c r="J31" s="5"/>
      <c r="K31" s="5"/>
      <c r="L31" s="5"/>
      <c r="M31" s="3"/>
    </row>
    <row r="32" spans="2:13" x14ac:dyDescent="0.35">
      <c r="B32" s="12" t="s">
        <v>29</v>
      </c>
      <c r="C32" s="5"/>
      <c r="D32" s="5"/>
      <c r="E32" s="5"/>
      <c r="F32" s="5"/>
      <c r="G32" s="3"/>
      <c r="H32" s="12" t="s">
        <v>43</v>
      </c>
      <c r="I32" s="5"/>
      <c r="J32" s="5"/>
      <c r="K32" s="5"/>
      <c r="L32" s="5"/>
      <c r="M32" s="3"/>
    </row>
    <row r="33" spans="2:13" x14ac:dyDescent="0.35">
      <c r="B33" s="12" t="s">
        <v>145</v>
      </c>
      <c r="C33" s="5"/>
      <c r="D33" s="5"/>
      <c r="E33" s="5"/>
      <c r="F33" s="5"/>
      <c r="G33" s="3"/>
      <c r="H33" s="12" t="s">
        <v>44</v>
      </c>
      <c r="I33" s="5"/>
      <c r="J33" s="5"/>
      <c r="K33" s="5"/>
      <c r="L33" s="5"/>
      <c r="M33" s="3"/>
    </row>
    <row r="34" spans="2:13" x14ac:dyDescent="0.35">
      <c r="B34" s="12" t="s">
        <v>22</v>
      </c>
      <c r="C34" s="5"/>
      <c r="D34" s="5"/>
      <c r="E34" s="5"/>
      <c r="F34" s="5"/>
      <c r="G34" s="3"/>
      <c r="H34" s="12" t="s">
        <v>45</v>
      </c>
      <c r="I34" s="5"/>
      <c r="J34" s="5"/>
      <c r="K34" s="5"/>
      <c r="L34" s="5"/>
      <c r="M34" s="3"/>
    </row>
    <row r="35" spans="2:13" x14ac:dyDescent="0.35">
      <c r="B35" s="12" t="s">
        <v>95</v>
      </c>
      <c r="C35" s="5"/>
      <c r="D35" s="5"/>
      <c r="E35" s="5"/>
      <c r="F35" s="5"/>
      <c r="G35" s="3"/>
      <c r="H35" s="12" t="s">
        <v>96</v>
      </c>
      <c r="I35" s="5"/>
      <c r="J35" s="5"/>
      <c r="K35" s="5"/>
      <c r="L35" s="5"/>
      <c r="M35" s="3"/>
    </row>
    <row r="36" spans="2:13" x14ac:dyDescent="0.35">
      <c r="B36" s="12" t="s">
        <v>23</v>
      </c>
      <c r="C36" s="5"/>
      <c r="D36" s="5"/>
      <c r="E36" s="5"/>
      <c r="F36" s="5"/>
      <c r="G36" s="3"/>
      <c r="H36" s="12" t="s">
        <v>46</v>
      </c>
      <c r="I36" s="5"/>
      <c r="J36" s="5"/>
      <c r="K36" s="5"/>
      <c r="L36" s="5"/>
      <c r="M36" s="3"/>
    </row>
    <row r="37" spans="2:13" x14ac:dyDescent="0.35">
      <c r="B37" s="12" t="s">
        <v>25</v>
      </c>
      <c r="C37" s="5"/>
      <c r="D37" s="5"/>
      <c r="E37" s="5"/>
      <c r="F37" s="5"/>
      <c r="G37" s="3"/>
      <c r="H37" s="12" t="s">
        <v>28</v>
      </c>
      <c r="I37" s="5"/>
      <c r="J37" s="5"/>
      <c r="K37" s="5"/>
      <c r="L37" s="5"/>
      <c r="M37" s="3"/>
    </row>
    <row r="38" spans="2:13" x14ac:dyDescent="0.35">
      <c r="B38" s="12" t="s">
        <v>26</v>
      </c>
      <c r="C38" s="5"/>
      <c r="D38" s="5"/>
      <c r="E38" s="5"/>
      <c r="F38" s="5"/>
      <c r="G38" s="3"/>
      <c r="H38" s="12"/>
      <c r="I38" s="5"/>
      <c r="J38" s="5"/>
      <c r="K38" s="5"/>
      <c r="L38" s="5"/>
      <c r="M38" s="3"/>
    </row>
    <row r="39" spans="2:13" x14ac:dyDescent="0.35">
      <c r="B39" s="12" t="s">
        <v>27</v>
      </c>
      <c r="C39" s="5"/>
      <c r="D39" s="5"/>
      <c r="E39" s="5"/>
      <c r="F39" s="5"/>
      <c r="G39" s="3"/>
      <c r="H39" s="12"/>
      <c r="I39" s="5"/>
      <c r="J39" s="5"/>
      <c r="K39" s="5"/>
      <c r="L39" s="5"/>
      <c r="M39" s="3"/>
    </row>
    <row r="40" spans="2:13" x14ac:dyDescent="0.35">
      <c r="B40" s="12" t="s">
        <v>146</v>
      </c>
      <c r="C40" s="5"/>
      <c r="D40" s="5"/>
      <c r="E40" s="5"/>
      <c r="F40" s="5"/>
      <c r="G40" s="3"/>
      <c r="H40" s="12"/>
      <c r="I40" s="5"/>
      <c r="J40" s="5"/>
      <c r="K40" s="5"/>
      <c r="L40" s="5"/>
      <c r="M40" s="3"/>
    </row>
    <row r="41" spans="2:13" x14ac:dyDescent="0.35">
      <c r="B41" s="13"/>
      <c r="C41" s="14"/>
      <c r="D41" s="14"/>
      <c r="E41" s="14"/>
      <c r="F41" s="14"/>
      <c r="G41" s="15"/>
      <c r="H41" s="13"/>
      <c r="I41" s="14"/>
      <c r="J41" s="14"/>
      <c r="K41" s="14"/>
      <c r="L41" s="14"/>
      <c r="M41" s="15"/>
    </row>
    <row r="42" spans="2:13" x14ac:dyDescent="0.35">
      <c r="B42" s="1"/>
    </row>
    <row r="43" spans="2:13" x14ac:dyDescent="0.35">
      <c r="B43" s="1"/>
    </row>
    <row r="44" spans="2:13" x14ac:dyDescent="0.35">
      <c r="B44" s="1"/>
    </row>
    <row r="45" spans="2:13" x14ac:dyDescent="0.35">
      <c r="B45" s="1"/>
    </row>
    <row r="46" spans="2:13" x14ac:dyDescent="0.35">
      <c r="B46" s="1"/>
    </row>
    <row r="47" spans="2:13" x14ac:dyDescent="0.35">
      <c r="B47" s="1"/>
    </row>
    <row r="48" spans="2:13" x14ac:dyDescent="0.35">
      <c r="B48" s="1"/>
    </row>
    <row r="49" spans="2:2" x14ac:dyDescent="0.35">
      <c r="B49" s="1"/>
    </row>
    <row r="50" spans="2:2" x14ac:dyDescent="0.35">
      <c r="B50" s="1"/>
    </row>
    <row r="51" spans="2:2" x14ac:dyDescent="0.35">
      <c r="B51" s="1"/>
    </row>
    <row r="52" spans="2:2" x14ac:dyDescent="0.35">
      <c r="B52" s="1"/>
    </row>
  </sheetData>
  <sheetProtection algorithmName="SHA-512" hashValue="qgNFAPp13ttQ9wixcZC12D5MbDR4wQsY1wHwUG8XMPL1FgSAXMD/gTFzeQiJC1GYNgSQ987MuclO/ZarTTii8Q==" saltValue="RIV6opa132v1p7twMpkr6w==" spinCount="100000" sheet="1" objects="1" scenarios="1"/>
  <mergeCells count="7">
    <mergeCell ref="R2:AC2"/>
    <mergeCell ref="B1:M1"/>
    <mergeCell ref="B2:M2"/>
    <mergeCell ref="B15:G15"/>
    <mergeCell ref="H15:M15"/>
    <mergeCell ref="B8:G8"/>
    <mergeCell ref="H8:M8"/>
  </mergeCells>
  <pageMargins left="0.7" right="0.7" top="0.75" bottom="0.75" header="0.3" footer="0.3"/>
  <pageSetup orientation="landscape" r:id="rId1"/>
  <headerFooter>
    <oddFooter>&amp;R&amp;1#&amp;"Calibri"&amp;12&amp;K000000Official Use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4AF43-D3D2-4260-9B51-A17B417C85E0}">
  <dimension ref="A1:L50"/>
  <sheetViews>
    <sheetView showGridLines="0" topLeftCell="A19" zoomScaleNormal="100" workbookViewId="0">
      <selection activeCell="J3" sqref="J3"/>
    </sheetView>
  </sheetViews>
  <sheetFormatPr defaultRowHeight="14.5" x14ac:dyDescent="0.35"/>
  <cols>
    <col min="1" max="1" width="8.7265625" style="29"/>
    <col min="2" max="2" width="26.08984375" style="29" customWidth="1"/>
    <col min="3" max="3" width="18.6328125" style="29" customWidth="1"/>
    <col min="4" max="4" width="0.81640625" style="29" customWidth="1"/>
    <col min="5" max="5" width="18.6328125" style="29" customWidth="1"/>
    <col min="6" max="6" width="0.81640625" style="29" customWidth="1"/>
    <col min="7" max="7" width="18.6328125" style="29" customWidth="1"/>
    <col min="8" max="8" width="0.81640625" style="29" customWidth="1"/>
    <col min="9" max="9" width="18.6328125" style="29" customWidth="1"/>
    <col min="10" max="16384" width="8.7265625" style="29"/>
  </cols>
  <sheetData>
    <row r="1" spans="1:12" ht="5.5" customHeight="1" thickBot="1" x14ac:dyDescent="0.4">
      <c r="A1" s="78"/>
      <c r="B1" s="78"/>
    </row>
    <row r="2" spans="1:12" ht="15" customHeight="1" thickBot="1" x14ac:dyDescent="0.4">
      <c r="A2" s="95" t="s">
        <v>133</v>
      </c>
      <c r="B2" s="96" t="s">
        <v>66</v>
      </c>
      <c r="C2" s="100" t="s">
        <v>47</v>
      </c>
      <c r="D2" s="101"/>
      <c r="E2" s="100" t="s">
        <v>48</v>
      </c>
      <c r="F2" s="101"/>
      <c r="G2" s="100" t="s">
        <v>31</v>
      </c>
      <c r="H2" s="101"/>
      <c r="I2" s="100" t="s">
        <v>39</v>
      </c>
      <c r="L2" s="30"/>
    </row>
    <row r="3" spans="1:12" ht="15" customHeight="1" thickBot="1" x14ac:dyDescent="0.4">
      <c r="A3" s="97" t="s">
        <v>100</v>
      </c>
      <c r="B3" s="96" t="s">
        <v>98</v>
      </c>
      <c r="L3" s="30"/>
    </row>
    <row r="4" spans="1:12" ht="15" thickBot="1" x14ac:dyDescent="0.4">
      <c r="A4" s="78"/>
      <c r="B4" s="98" t="s">
        <v>63</v>
      </c>
      <c r="C4" s="32">
        <v>1500000</v>
      </c>
      <c r="D4" s="33"/>
      <c r="E4" s="32">
        <v>1500000</v>
      </c>
      <c r="F4" s="33"/>
      <c r="G4" s="32">
        <v>200000</v>
      </c>
      <c r="H4" s="33"/>
      <c r="I4" s="32">
        <v>200000</v>
      </c>
      <c r="L4" s="34"/>
    </row>
    <row r="5" spans="1:12" ht="5.5" customHeight="1" thickBot="1" x14ac:dyDescent="0.4">
      <c r="A5" s="78"/>
      <c r="B5" s="98"/>
      <c r="C5" s="35"/>
      <c r="D5" s="35"/>
      <c r="E5" s="35"/>
      <c r="F5" s="35"/>
      <c r="G5" s="35"/>
      <c r="H5" s="35"/>
      <c r="I5" s="35"/>
      <c r="L5" s="34"/>
    </row>
    <row r="6" spans="1:12" ht="15.5" customHeight="1" thickBot="1" x14ac:dyDescent="0.4">
      <c r="A6" s="78"/>
      <c r="B6" s="98" t="s">
        <v>64</v>
      </c>
      <c r="C6" s="47">
        <v>1.2</v>
      </c>
      <c r="D6" s="36"/>
      <c r="E6" s="47">
        <v>1</v>
      </c>
      <c r="F6" s="36"/>
      <c r="G6" s="47">
        <v>8</v>
      </c>
      <c r="H6" s="36"/>
      <c r="I6" s="47">
        <v>14</v>
      </c>
      <c r="L6" s="34"/>
    </row>
    <row r="7" spans="1:12" ht="5.5" customHeight="1" thickBot="1" x14ac:dyDescent="0.4">
      <c r="A7" s="78"/>
      <c r="B7" s="98"/>
      <c r="C7" s="104"/>
      <c r="D7" s="104"/>
      <c r="E7" s="104"/>
      <c r="F7" s="104"/>
      <c r="G7" s="104"/>
      <c r="H7" s="104"/>
      <c r="I7" s="104"/>
      <c r="L7" s="34"/>
    </row>
    <row r="8" spans="1:12" ht="15.5" customHeight="1" thickBot="1" x14ac:dyDescent="0.4">
      <c r="A8" s="78"/>
      <c r="B8" s="98" t="s">
        <v>154</v>
      </c>
      <c r="C8" s="105">
        <v>0.8</v>
      </c>
      <c r="D8" s="106"/>
      <c r="E8" s="105">
        <v>0.8</v>
      </c>
      <c r="F8" s="106"/>
      <c r="G8" s="105">
        <v>0.8</v>
      </c>
      <c r="H8" s="106"/>
      <c r="I8" s="105">
        <v>0.8</v>
      </c>
      <c r="L8" s="34"/>
    </row>
    <row r="9" spans="1:12" ht="15.5" customHeight="1" x14ac:dyDescent="0.35">
      <c r="A9" s="78"/>
      <c r="B9" s="98"/>
      <c r="C9" s="37"/>
      <c r="D9" s="38"/>
      <c r="E9" s="37"/>
      <c r="F9" s="38"/>
      <c r="G9" s="37"/>
      <c r="H9" s="38"/>
      <c r="I9" s="37"/>
      <c r="L9" s="30"/>
    </row>
    <row r="10" spans="1:12" x14ac:dyDescent="0.35">
      <c r="A10" s="78"/>
      <c r="B10" s="99" t="s">
        <v>101</v>
      </c>
      <c r="C10" s="39"/>
      <c r="D10" s="35"/>
      <c r="E10" s="35"/>
      <c r="F10" s="35"/>
      <c r="G10" s="35"/>
      <c r="H10" s="35"/>
      <c r="I10" s="35"/>
    </row>
    <row r="11" spans="1:12" ht="5.5" customHeight="1" thickBot="1" x14ac:dyDescent="0.4">
      <c r="A11" s="78"/>
      <c r="B11" s="98"/>
      <c r="C11" s="35"/>
      <c r="D11" s="35"/>
      <c r="E11" s="35"/>
      <c r="F11" s="35"/>
      <c r="G11" s="35"/>
      <c r="H11" s="35"/>
      <c r="I11" s="35"/>
    </row>
    <row r="12" spans="1:12" ht="15" thickBot="1" x14ac:dyDescent="0.4">
      <c r="A12" s="78"/>
      <c r="B12" s="98" t="s">
        <v>102</v>
      </c>
      <c r="C12" s="50">
        <f>+(C4*C6)/(480*24*C8)</f>
        <v>195.3125</v>
      </c>
      <c r="D12" s="51"/>
      <c r="E12" s="50">
        <f>+(E4*E6)/(480*24*E8)</f>
        <v>162.76041666666666</v>
      </c>
      <c r="F12" s="51"/>
      <c r="G12" s="50">
        <f>+(G4*G6)/(480*24*G8)</f>
        <v>173.61111111111111</v>
      </c>
      <c r="H12" s="51"/>
      <c r="I12" s="50">
        <f>+(I4*I6)/(480*24*I8)</f>
        <v>303.81944444444446</v>
      </c>
      <c r="L12" s="40"/>
    </row>
    <row r="13" spans="1:12" ht="5.5" customHeight="1" thickBot="1" x14ac:dyDescent="0.4">
      <c r="A13" s="78"/>
      <c r="B13" s="98"/>
      <c r="C13" s="35"/>
      <c r="D13" s="35"/>
      <c r="E13" s="35"/>
      <c r="F13" s="35"/>
      <c r="G13" s="35"/>
      <c r="H13" s="35"/>
      <c r="I13" s="35"/>
    </row>
    <row r="14" spans="1:12" ht="15" thickBot="1" x14ac:dyDescent="0.4">
      <c r="A14" s="78"/>
      <c r="B14" s="98" t="s">
        <v>103</v>
      </c>
      <c r="C14" s="41">
        <v>45</v>
      </c>
      <c r="D14" s="42"/>
      <c r="E14" s="41">
        <v>20</v>
      </c>
      <c r="F14" s="42"/>
      <c r="G14" s="41">
        <v>100</v>
      </c>
      <c r="H14" s="42"/>
      <c r="I14" s="41">
        <v>100</v>
      </c>
    </row>
    <row r="15" spans="1:12" ht="5.5" customHeight="1" thickBot="1" x14ac:dyDescent="0.4">
      <c r="A15" s="78"/>
      <c r="B15" s="98"/>
      <c r="C15" s="43"/>
      <c r="D15" s="43"/>
      <c r="E15" s="43"/>
      <c r="F15" s="43"/>
      <c r="G15" s="43"/>
      <c r="H15" s="43"/>
      <c r="I15" s="43"/>
    </row>
    <row r="16" spans="1:12" ht="15" thickBot="1" x14ac:dyDescent="0.4">
      <c r="A16" s="78"/>
      <c r="B16" s="98" t="s">
        <v>104</v>
      </c>
      <c r="C16" s="44">
        <v>2</v>
      </c>
      <c r="D16" s="42"/>
      <c r="E16" s="44">
        <v>2</v>
      </c>
      <c r="F16" s="42"/>
      <c r="G16" s="44">
        <v>2</v>
      </c>
      <c r="H16" s="42"/>
      <c r="I16" s="44">
        <v>2</v>
      </c>
    </row>
    <row r="17" spans="1:11" ht="5.5" customHeight="1" thickBot="1" x14ac:dyDescent="0.4">
      <c r="A17" s="78"/>
      <c r="B17" s="98"/>
      <c r="C17" s="45"/>
      <c r="D17" s="45"/>
      <c r="E17" s="45"/>
      <c r="F17" s="45"/>
      <c r="G17" s="45"/>
      <c r="H17" s="45"/>
      <c r="I17" s="45"/>
    </row>
    <row r="18" spans="1:11" ht="15" thickBot="1" x14ac:dyDescent="0.4">
      <c r="A18" s="78"/>
      <c r="B18" s="98" t="s">
        <v>105</v>
      </c>
      <c r="C18" s="44">
        <v>1</v>
      </c>
      <c r="D18" s="42"/>
      <c r="E18" s="44">
        <v>1</v>
      </c>
      <c r="F18" s="42"/>
      <c r="G18" s="44">
        <v>1</v>
      </c>
      <c r="H18" s="42"/>
      <c r="I18" s="44">
        <v>1</v>
      </c>
    </row>
    <row r="19" spans="1:11" ht="15.5" customHeight="1" x14ac:dyDescent="0.35">
      <c r="A19" s="78"/>
      <c r="B19" s="98"/>
      <c r="C19" s="35"/>
      <c r="D19" s="35"/>
      <c r="E19" s="35"/>
      <c r="F19" s="35"/>
      <c r="G19" s="35"/>
      <c r="H19" s="35"/>
      <c r="I19" s="35"/>
    </row>
    <row r="20" spans="1:11" x14ac:dyDescent="0.35">
      <c r="A20" s="78"/>
      <c r="B20" s="99" t="s">
        <v>51</v>
      </c>
      <c r="C20" s="39"/>
      <c r="D20" s="35"/>
      <c r="E20" s="35"/>
      <c r="F20" s="35"/>
      <c r="G20" s="35"/>
      <c r="H20" s="35"/>
      <c r="I20" s="35"/>
    </row>
    <row r="21" spans="1:11" ht="5.5" customHeight="1" thickBot="1" x14ac:dyDescent="0.4">
      <c r="A21" s="78"/>
      <c r="B21" s="98"/>
      <c r="C21" s="35"/>
      <c r="D21" s="35"/>
      <c r="E21" s="35"/>
      <c r="F21" s="35"/>
      <c r="G21" s="35"/>
      <c r="H21" s="35"/>
      <c r="I21" s="35"/>
    </row>
    <row r="22" spans="1:11" ht="15" thickBot="1" x14ac:dyDescent="0.4">
      <c r="A22" s="78"/>
      <c r="B22" s="98" t="s">
        <v>65</v>
      </c>
      <c r="C22" s="52">
        <f>75*480*24</f>
        <v>864000</v>
      </c>
      <c r="D22" s="53"/>
      <c r="E22" s="52">
        <f>45*480*24</f>
        <v>518400</v>
      </c>
      <c r="F22" s="54"/>
      <c r="G22" s="55"/>
      <c r="H22" s="54"/>
      <c r="I22" s="55"/>
    </row>
    <row r="23" spans="1:11" hidden="1" x14ac:dyDescent="0.35">
      <c r="A23" s="78"/>
      <c r="B23" s="98"/>
      <c r="C23" s="56">
        <f>+C4/C22</f>
        <v>1.7361111111111112</v>
      </c>
      <c r="D23" s="53"/>
      <c r="E23" s="56">
        <f>+E4/E22</f>
        <v>2.8935185185185186</v>
      </c>
      <c r="F23" s="54"/>
      <c r="G23" s="57"/>
      <c r="H23" s="54"/>
      <c r="I23" s="57"/>
    </row>
    <row r="24" spans="1:11" ht="5" customHeight="1" thickBot="1" x14ac:dyDescent="0.4">
      <c r="A24" s="78"/>
      <c r="B24" s="78"/>
      <c r="C24" s="54"/>
      <c r="D24" s="54"/>
      <c r="E24" s="54"/>
      <c r="F24" s="54"/>
      <c r="G24" s="54"/>
      <c r="H24" s="54"/>
      <c r="I24" s="54"/>
    </row>
    <row r="25" spans="1:11" ht="15" thickBot="1" x14ac:dyDescent="0.4">
      <c r="A25" s="78"/>
      <c r="B25" s="98" t="s">
        <v>52</v>
      </c>
      <c r="C25" s="58">
        <f>ROUND(C23,0)</f>
        <v>2</v>
      </c>
      <c r="D25" s="59"/>
      <c r="E25" s="58">
        <f>ROUND(E23,0)</f>
        <v>3</v>
      </c>
      <c r="F25" s="60"/>
      <c r="G25" s="61"/>
      <c r="H25" s="60"/>
      <c r="I25" s="61"/>
      <c r="K25" s="46"/>
    </row>
    <row r="26" spans="1:11" ht="5.5" customHeight="1" thickBot="1" x14ac:dyDescent="0.4">
      <c r="A26" s="78"/>
      <c r="B26" s="98"/>
      <c r="C26" s="62"/>
      <c r="D26" s="63"/>
      <c r="E26" s="62"/>
      <c r="F26" s="64"/>
      <c r="G26" s="65"/>
      <c r="H26" s="64"/>
      <c r="I26" s="65"/>
    </row>
    <row r="27" spans="1:11" ht="15" thickBot="1" x14ac:dyDescent="0.4">
      <c r="A27" s="78"/>
      <c r="B27" s="98" t="s">
        <v>102</v>
      </c>
      <c r="C27" s="58">
        <f>+C25*10</f>
        <v>20</v>
      </c>
      <c r="D27" s="63"/>
      <c r="E27" s="58">
        <f>+E25*10</f>
        <v>30</v>
      </c>
      <c r="F27" s="64"/>
      <c r="G27" s="61"/>
      <c r="H27" s="64"/>
      <c r="I27" s="61"/>
    </row>
    <row r="28" spans="1:11" ht="15.5" customHeight="1" x14ac:dyDescent="0.35">
      <c r="A28" s="78"/>
      <c r="B28" s="98"/>
      <c r="C28" s="35"/>
      <c r="D28" s="35"/>
      <c r="E28" s="35"/>
      <c r="F28" s="35"/>
      <c r="G28" s="35"/>
      <c r="H28" s="35"/>
      <c r="I28" s="35"/>
    </row>
    <row r="29" spans="1:11" x14ac:dyDescent="0.35">
      <c r="A29" s="78"/>
      <c r="B29" s="99" t="s">
        <v>53</v>
      </c>
      <c r="C29" s="35"/>
      <c r="D29" s="35"/>
      <c r="E29" s="35"/>
      <c r="F29" s="35"/>
      <c r="G29" s="35"/>
      <c r="H29" s="35"/>
      <c r="I29" s="35"/>
    </row>
    <row r="30" spans="1:11" ht="5.5" customHeight="1" thickBot="1" x14ac:dyDescent="0.4">
      <c r="A30" s="78"/>
      <c r="B30" s="78"/>
      <c r="C30" s="35"/>
      <c r="D30" s="35"/>
      <c r="E30" s="35"/>
      <c r="F30" s="35"/>
      <c r="G30" s="35"/>
      <c r="H30" s="35"/>
      <c r="I30" s="35"/>
    </row>
    <row r="31" spans="1:11" ht="15.5" customHeight="1" thickBot="1" x14ac:dyDescent="0.4">
      <c r="A31" s="78"/>
      <c r="B31" s="98" t="s">
        <v>62</v>
      </c>
      <c r="C31" s="47">
        <v>0.25</v>
      </c>
      <c r="D31" s="48"/>
      <c r="E31" s="47">
        <v>0.3</v>
      </c>
      <c r="F31" s="48"/>
      <c r="G31" s="47">
        <v>2.5</v>
      </c>
      <c r="H31" s="48"/>
      <c r="I31" s="47">
        <v>3.5</v>
      </c>
    </row>
    <row r="32" spans="1:11" ht="5.5" customHeight="1" thickBot="1" x14ac:dyDescent="0.4">
      <c r="A32" s="78"/>
      <c r="B32" s="78"/>
      <c r="C32" s="49"/>
      <c r="D32" s="49"/>
      <c r="E32" s="49"/>
      <c r="F32" s="49"/>
      <c r="G32" s="49"/>
      <c r="H32" s="49"/>
      <c r="I32" s="49"/>
    </row>
    <row r="33" spans="1:9" ht="15" thickBot="1" x14ac:dyDescent="0.4">
      <c r="A33" s="78"/>
      <c r="B33" s="98" t="s">
        <v>56</v>
      </c>
      <c r="C33" s="47">
        <v>0.15</v>
      </c>
      <c r="D33" s="48"/>
      <c r="E33" s="47">
        <v>0.22</v>
      </c>
      <c r="F33" s="48"/>
      <c r="G33" s="47">
        <v>1.55</v>
      </c>
      <c r="H33" s="48"/>
      <c r="I33" s="47">
        <v>2.2000000000000002</v>
      </c>
    </row>
    <row r="34" spans="1:9" ht="5.5" customHeight="1" thickBot="1" x14ac:dyDescent="0.4">
      <c r="A34" s="78"/>
      <c r="B34" s="98"/>
      <c r="C34" s="49"/>
      <c r="D34" s="49"/>
      <c r="E34" s="49"/>
      <c r="F34" s="49"/>
      <c r="G34" s="49"/>
      <c r="H34" s="49"/>
      <c r="I34" s="49"/>
    </row>
    <row r="35" spans="1:9" ht="15" thickBot="1" x14ac:dyDescent="0.4">
      <c r="A35" s="78"/>
      <c r="B35" s="98" t="s">
        <v>55</v>
      </c>
      <c r="C35" s="47">
        <v>0.01</v>
      </c>
      <c r="D35" s="48"/>
      <c r="E35" s="47">
        <v>0.02</v>
      </c>
      <c r="F35" s="48"/>
      <c r="G35" s="47">
        <v>0.4</v>
      </c>
      <c r="H35" s="48"/>
      <c r="I35" s="47">
        <v>0.4</v>
      </c>
    </row>
    <row r="36" spans="1:9" ht="5.5" customHeight="1" thickBot="1" x14ac:dyDescent="0.4">
      <c r="A36" s="78"/>
      <c r="B36" s="98"/>
      <c r="C36" s="49"/>
      <c r="D36" s="49"/>
      <c r="E36" s="49"/>
      <c r="F36" s="49"/>
      <c r="G36" s="49"/>
      <c r="H36" s="49"/>
      <c r="I36" s="49"/>
    </row>
    <row r="37" spans="1:9" ht="15" thickBot="1" x14ac:dyDescent="0.4">
      <c r="A37" s="78"/>
      <c r="B37" s="98" t="s">
        <v>106</v>
      </c>
      <c r="C37" s="47">
        <v>250</v>
      </c>
      <c r="D37" s="49"/>
      <c r="E37" s="47">
        <v>250</v>
      </c>
      <c r="F37" s="49"/>
      <c r="G37" s="47">
        <v>250</v>
      </c>
      <c r="H37" s="49"/>
      <c r="I37" s="47">
        <v>250</v>
      </c>
    </row>
    <row r="38" spans="1:9" ht="15.5" customHeight="1" x14ac:dyDescent="0.35">
      <c r="A38" s="78"/>
      <c r="B38" s="98"/>
      <c r="C38" s="35"/>
      <c r="D38" s="35"/>
      <c r="E38" s="35"/>
      <c r="F38" s="35"/>
      <c r="G38" s="35"/>
      <c r="H38" s="35"/>
      <c r="I38" s="35"/>
    </row>
    <row r="39" spans="1:9" x14ac:dyDescent="0.35">
      <c r="A39" s="78"/>
      <c r="B39" s="99" t="s">
        <v>54</v>
      </c>
      <c r="C39" s="35"/>
      <c r="D39" s="35"/>
      <c r="E39" s="35"/>
      <c r="F39" s="35"/>
      <c r="G39" s="35"/>
      <c r="H39" s="35"/>
      <c r="I39" s="35"/>
    </row>
    <row r="40" spans="1:9" ht="5.5" customHeight="1" thickBot="1" x14ac:dyDescent="0.4">
      <c r="A40" s="78"/>
      <c r="B40" s="98"/>
      <c r="C40" s="35"/>
      <c r="D40" s="35"/>
      <c r="E40" s="35"/>
      <c r="F40" s="35"/>
      <c r="G40" s="35"/>
      <c r="H40" s="35"/>
      <c r="I40" s="35"/>
    </row>
    <row r="41" spans="1:9" ht="15" thickBot="1" x14ac:dyDescent="0.4">
      <c r="A41" s="78"/>
      <c r="B41" s="98" t="s">
        <v>4</v>
      </c>
      <c r="C41" s="44">
        <v>90</v>
      </c>
      <c r="D41" s="35"/>
      <c r="E41" s="44">
        <v>90</v>
      </c>
      <c r="F41" s="35"/>
      <c r="G41" s="44">
        <v>90</v>
      </c>
      <c r="H41" s="35"/>
      <c r="I41" s="44">
        <v>90</v>
      </c>
    </row>
    <row r="42" spans="1:9" ht="5.5" customHeight="1" thickBot="1" x14ac:dyDescent="0.4">
      <c r="A42" s="78"/>
      <c r="B42" s="98"/>
      <c r="C42" s="42"/>
      <c r="D42" s="35"/>
      <c r="E42" s="42"/>
      <c r="F42" s="35"/>
      <c r="G42" s="42"/>
      <c r="H42" s="35"/>
      <c r="I42" s="42"/>
    </row>
    <row r="43" spans="1:9" ht="15" thickBot="1" x14ac:dyDescent="0.4">
      <c r="A43" s="78"/>
      <c r="B43" s="98" t="s">
        <v>5</v>
      </c>
      <c r="C43" s="44">
        <v>0</v>
      </c>
      <c r="D43" s="35"/>
      <c r="E43" s="44">
        <v>0</v>
      </c>
      <c r="F43" s="35"/>
      <c r="G43" s="44">
        <v>0</v>
      </c>
      <c r="H43" s="35"/>
      <c r="I43" s="44">
        <v>0</v>
      </c>
    </row>
    <row r="44" spans="1:9" ht="5.5" customHeight="1" thickBot="1" x14ac:dyDescent="0.4">
      <c r="A44" s="78"/>
      <c r="B44" s="98"/>
      <c r="C44" s="42"/>
      <c r="D44" s="35"/>
      <c r="E44" s="42"/>
      <c r="F44" s="35"/>
      <c r="G44" s="42"/>
      <c r="H44" s="35"/>
      <c r="I44" s="42"/>
    </row>
    <row r="45" spans="1:9" ht="15" thickBot="1" x14ac:dyDescent="0.4">
      <c r="A45" s="78"/>
      <c r="B45" s="98" t="s">
        <v>6</v>
      </c>
      <c r="C45" s="44">
        <v>45</v>
      </c>
      <c r="D45" s="35"/>
      <c r="E45" s="44">
        <v>45</v>
      </c>
      <c r="F45" s="35"/>
      <c r="G45" s="44">
        <v>45</v>
      </c>
      <c r="H45" s="35"/>
      <c r="I45" s="44">
        <v>45</v>
      </c>
    </row>
    <row r="46" spans="1:9" x14ac:dyDescent="0.35">
      <c r="B46" s="31"/>
    </row>
    <row r="47" spans="1:9" x14ac:dyDescent="0.35">
      <c r="B47" s="31"/>
    </row>
    <row r="48" spans="1:9" x14ac:dyDescent="0.35">
      <c r="B48" s="31"/>
    </row>
    <row r="49" spans="2:2" x14ac:dyDescent="0.35">
      <c r="B49" s="31"/>
    </row>
    <row r="50" spans="2:2" x14ac:dyDescent="0.35">
      <c r="B50" s="31"/>
    </row>
  </sheetData>
  <sheetProtection algorithmName="SHA-512" hashValue="gQZu61zd5x4S9JDaj/mklZ/Uw6ZlPAzrvjaTv4NlXs2+jar+Qc3FhXC8iIGZbZVKMXW3FMTmVGeP3jRDQV+SkQ==" saltValue="BSmpWvV5FqL4PJGLrNnfxg==" spinCount="100000" sheet="1" objects="1" scenarios="1"/>
  <protectedRanges>
    <protectedRange sqref="C4:I4 C16:I18 C31:I45" name="Range1"/>
  </protectedRanges>
  <pageMargins left="0.7" right="0.7" top="0.75" bottom="0.75" header="0.3" footer="0.3"/>
  <pageSetup orientation="landscape" r:id="rId1"/>
  <headerFooter>
    <oddFooter>&amp;R&amp;1#&amp;"Calibri"&amp;12&amp;K000000Official Use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1735C-7535-4051-848A-ACAD4449436E}">
  <dimension ref="A1:K77"/>
  <sheetViews>
    <sheetView showGridLines="0" workbookViewId="0">
      <selection activeCell="C1" sqref="C1"/>
    </sheetView>
  </sheetViews>
  <sheetFormatPr defaultRowHeight="14.5" x14ac:dyDescent="0.35"/>
  <cols>
    <col min="1" max="1" width="8.7265625" style="29"/>
    <col min="2" max="2" width="40.90625" style="29" customWidth="1"/>
    <col min="3" max="3" width="18.6328125" style="29" customWidth="1"/>
    <col min="4" max="4" width="0.81640625" style="29" customWidth="1"/>
    <col min="5" max="5" width="18.6328125" style="29" customWidth="1"/>
    <col min="6" max="6" width="0.81640625" style="29" customWidth="1"/>
    <col min="7" max="7" width="18.6328125" style="29" customWidth="1"/>
    <col min="8" max="8" width="0.81640625" style="29" customWidth="1"/>
    <col min="9" max="9" width="18.6328125" style="29" customWidth="1"/>
    <col min="10" max="10" width="0.81640625" style="29" customWidth="1"/>
    <col min="11" max="11" width="18.6328125" style="29" customWidth="1"/>
    <col min="12" max="16384" width="8.7265625" style="29"/>
  </cols>
  <sheetData>
    <row r="1" spans="1:11" ht="5.5" customHeight="1" thickBot="1" x14ac:dyDescent="0.4"/>
    <row r="2" spans="1:11" ht="15" customHeight="1" thickBot="1" x14ac:dyDescent="0.4">
      <c r="A2" s="95" t="s">
        <v>133</v>
      </c>
      <c r="B2" s="96" t="s">
        <v>66</v>
      </c>
      <c r="C2" s="100" t="s">
        <v>47</v>
      </c>
      <c r="D2" s="101"/>
      <c r="E2" s="100" t="s">
        <v>48</v>
      </c>
      <c r="F2" s="101"/>
      <c r="G2" s="100" t="s">
        <v>31</v>
      </c>
      <c r="H2" s="101"/>
      <c r="I2" s="100" t="s">
        <v>39</v>
      </c>
      <c r="J2" s="78"/>
      <c r="K2" s="100" t="s">
        <v>110</v>
      </c>
    </row>
    <row r="3" spans="1:11" ht="15" thickBot="1" x14ac:dyDescent="0.4">
      <c r="A3" s="97" t="s">
        <v>100</v>
      </c>
      <c r="B3" s="96" t="s">
        <v>98</v>
      </c>
      <c r="C3" s="78"/>
      <c r="D3" s="78"/>
      <c r="E3" s="78"/>
      <c r="F3" s="78"/>
      <c r="G3" s="78"/>
      <c r="H3" s="78"/>
      <c r="I3" s="78"/>
      <c r="J3" s="78"/>
      <c r="K3" s="78"/>
    </row>
    <row r="4" spans="1:11" ht="21" x14ac:dyDescent="0.5">
      <c r="A4" s="78"/>
      <c r="B4" s="103" t="s">
        <v>108</v>
      </c>
      <c r="C4" s="94" t="s">
        <v>0</v>
      </c>
      <c r="D4" s="94"/>
      <c r="E4" s="94" t="s">
        <v>0</v>
      </c>
      <c r="F4" s="94"/>
      <c r="G4" s="94" t="s">
        <v>0</v>
      </c>
      <c r="H4" s="94"/>
      <c r="I4" s="94" t="s">
        <v>0</v>
      </c>
      <c r="J4" s="78"/>
      <c r="K4" s="94" t="s">
        <v>0</v>
      </c>
    </row>
    <row r="5" spans="1:11" ht="5.5" customHeight="1" x14ac:dyDescent="0.5">
      <c r="A5" s="78"/>
      <c r="B5" s="99"/>
      <c r="C5" s="102"/>
      <c r="D5" s="102"/>
      <c r="E5" s="102"/>
      <c r="F5" s="102"/>
      <c r="G5" s="102"/>
      <c r="H5" s="102"/>
      <c r="I5" s="102"/>
      <c r="J5" s="78"/>
      <c r="K5" s="78"/>
    </row>
    <row r="6" spans="1:11" x14ac:dyDescent="0.35">
      <c r="A6" s="78"/>
      <c r="B6" s="99" t="s">
        <v>107</v>
      </c>
      <c r="C6" s="54"/>
      <c r="D6" s="54"/>
      <c r="E6" s="54"/>
      <c r="F6" s="54"/>
      <c r="G6" s="54"/>
      <c r="H6" s="54"/>
      <c r="I6" s="54"/>
      <c r="J6" s="78"/>
      <c r="K6" s="78"/>
    </row>
    <row r="7" spans="1:11" ht="5.5" customHeight="1" thickBot="1" x14ac:dyDescent="0.4">
      <c r="B7" s="31"/>
      <c r="C7" s="35"/>
      <c r="D7" s="35"/>
      <c r="E7" s="35"/>
      <c r="F7" s="35"/>
      <c r="G7" s="35"/>
      <c r="H7" s="35"/>
      <c r="I7" s="35"/>
    </row>
    <row r="8" spans="1:11" ht="15" thickBot="1" x14ac:dyDescent="0.4">
      <c r="A8" s="78"/>
      <c r="B8" s="98" t="s">
        <v>109</v>
      </c>
      <c r="C8" s="52">
        <f>+(Assumptions!C14*3500)+(Assumptions!C16*120000)+(Assumptions!C18*250000)</f>
        <v>647500</v>
      </c>
      <c r="D8" s="77"/>
      <c r="E8" s="52">
        <f>+(Assumptions!E14*3500)+(Assumptions!E16*120000)+(Assumptions!E18*250000)</f>
        <v>560000</v>
      </c>
      <c r="F8" s="77"/>
      <c r="G8" s="52">
        <f>+(Assumptions!G14*3500)+(Assumptions!G16*120000)+(Assumptions!G18*250000)</f>
        <v>840000</v>
      </c>
      <c r="H8" s="77"/>
      <c r="I8" s="52">
        <f>+(Assumptions!I14*3500)+(Assumptions!I16*120000)+(Assumptions!I18*250000)</f>
        <v>840000</v>
      </c>
      <c r="J8" s="78"/>
      <c r="K8" s="79">
        <f>SUM(C8:I8)</f>
        <v>2887500</v>
      </c>
    </row>
    <row r="9" spans="1:11" ht="5.5" customHeight="1" thickBot="1" x14ac:dyDescent="0.4">
      <c r="A9" s="78"/>
      <c r="B9" s="98"/>
      <c r="C9" s="68"/>
      <c r="D9" s="69"/>
      <c r="E9" s="68"/>
      <c r="F9" s="69"/>
      <c r="G9" s="68"/>
      <c r="H9" s="69"/>
      <c r="I9" s="68"/>
      <c r="J9" s="70"/>
      <c r="K9" s="71"/>
    </row>
    <row r="10" spans="1:11" ht="15" thickBot="1" x14ac:dyDescent="0.4">
      <c r="A10" s="78"/>
      <c r="B10" s="98" t="s">
        <v>116</v>
      </c>
      <c r="C10" s="72">
        <v>30000</v>
      </c>
      <c r="D10" s="66"/>
      <c r="E10" s="72">
        <v>30000</v>
      </c>
      <c r="F10" s="66"/>
      <c r="G10" s="72">
        <v>30000</v>
      </c>
      <c r="H10" s="66"/>
      <c r="I10" s="72">
        <v>30000</v>
      </c>
      <c r="K10" s="67">
        <f>SUM(C10:I10)</f>
        <v>120000</v>
      </c>
    </row>
    <row r="11" spans="1:11" ht="5.5" customHeight="1" thickBot="1" x14ac:dyDescent="0.4">
      <c r="A11" s="78"/>
      <c r="B11" s="78"/>
      <c r="C11" s="66"/>
      <c r="D11" s="66"/>
      <c r="E11" s="66"/>
      <c r="F11" s="66"/>
      <c r="G11" s="66"/>
      <c r="H11" s="66"/>
      <c r="I11" s="66"/>
      <c r="K11" s="35"/>
    </row>
    <row r="12" spans="1:11" ht="15" thickBot="1" x14ac:dyDescent="0.4">
      <c r="A12" s="78"/>
      <c r="B12" s="98" t="s">
        <v>147</v>
      </c>
      <c r="C12" s="52">
        <v>40000</v>
      </c>
      <c r="D12" s="77"/>
      <c r="E12" s="52">
        <v>40000</v>
      </c>
      <c r="F12" s="77"/>
      <c r="G12" s="52">
        <v>40000</v>
      </c>
      <c r="H12" s="77"/>
      <c r="I12" s="52">
        <v>40000</v>
      </c>
      <c r="J12" s="78"/>
      <c r="K12" s="79">
        <f>SUM(C12:I12)</f>
        <v>160000</v>
      </c>
    </row>
    <row r="13" spans="1:11" ht="5.5" customHeight="1" thickBot="1" x14ac:dyDescent="0.4">
      <c r="A13" s="78"/>
      <c r="B13" s="98"/>
      <c r="C13" s="66"/>
      <c r="D13" s="66"/>
      <c r="E13" s="66"/>
      <c r="F13" s="66"/>
      <c r="G13" s="66"/>
      <c r="H13" s="66"/>
      <c r="I13" s="66"/>
      <c r="K13" s="35"/>
    </row>
    <row r="14" spans="1:11" ht="15" customHeight="1" thickBot="1" x14ac:dyDescent="0.4">
      <c r="A14" s="78"/>
      <c r="B14" s="98" t="s">
        <v>117</v>
      </c>
      <c r="C14" s="72"/>
      <c r="D14" s="66"/>
      <c r="E14" s="72"/>
      <c r="F14" s="66"/>
      <c r="G14" s="72"/>
      <c r="H14" s="66"/>
      <c r="I14" s="72"/>
      <c r="K14" s="67">
        <f>SUM(C14:I14)</f>
        <v>0</v>
      </c>
    </row>
    <row r="15" spans="1:11" ht="5.5" customHeight="1" thickBot="1" x14ac:dyDescent="0.4">
      <c r="A15" s="78"/>
      <c r="B15" s="98"/>
      <c r="C15" s="71"/>
      <c r="D15" s="73"/>
      <c r="E15" s="71"/>
      <c r="F15" s="73"/>
      <c r="G15" s="71"/>
      <c r="H15" s="73"/>
      <c r="I15" s="71"/>
      <c r="K15" s="35"/>
    </row>
    <row r="16" spans="1:11" ht="15" thickBot="1" x14ac:dyDescent="0.4">
      <c r="A16" s="78"/>
      <c r="B16" s="98" t="s">
        <v>110</v>
      </c>
      <c r="C16" s="52">
        <f>SUM(C8:C14)</f>
        <v>717500</v>
      </c>
      <c r="D16" s="77"/>
      <c r="E16" s="52">
        <f>SUM(E8:E14)</f>
        <v>630000</v>
      </c>
      <c r="F16" s="77"/>
      <c r="G16" s="52">
        <f>SUM(G8:G14)</f>
        <v>910000</v>
      </c>
      <c r="H16" s="77"/>
      <c r="I16" s="52">
        <f>SUM(I8:I14)</f>
        <v>910000</v>
      </c>
      <c r="J16" s="78"/>
      <c r="K16" s="79">
        <f>SUM(C16:I16)</f>
        <v>3167500</v>
      </c>
    </row>
    <row r="17" spans="1:11" ht="5.5" customHeight="1" x14ac:dyDescent="0.35">
      <c r="A17" s="78"/>
      <c r="B17" s="98"/>
      <c r="C17" s="68"/>
      <c r="D17" s="69"/>
      <c r="E17" s="68"/>
      <c r="F17" s="69"/>
      <c r="G17" s="68"/>
      <c r="H17" s="69"/>
      <c r="I17" s="68"/>
      <c r="J17" s="70"/>
      <c r="K17" s="71"/>
    </row>
    <row r="18" spans="1:11" x14ac:dyDescent="0.35">
      <c r="A18" s="78"/>
      <c r="B18" s="99" t="s">
        <v>60</v>
      </c>
      <c r="C18" s="35"/>
      <c r="D18" s="35"/>
      <c r="E18" s="35"/>
      <c r="F18" s="35"/>
      <c r="G18" s="35"/>
      <c r="H18" s="35"/>
      <c r="I18" s="35"/>
      <c r="J18" s="70"/>
      <c r="K18" s="71"/>
    </row>
    <row r="19" spans="1:11" ht="5.5" customHeight="1" thickBot="1" x14ac:dyDescent="0.4">
      <c r="A19" s="78"/>
      <c r="B19" s="98"/>
      <c r="C19" s="35"/>
      <c r="D19" s="35"/>
      <c r="E19" s="35"/>
      <c r="F19" s="35"/>
      <c r="G19" s="35"/>
      <c r="H19" s="35"/>
      <c r="I19" s="35"/>
      <c r="J19" s="70"/>
      <c r="K19" s="71"/>
    </row>
    <row r="20" spans="1:11" ht="15" thickBot="1" x14ac:dyDescent="0.4">
      <c r="A20" s="78"/>
      <c r="B20" s="98" t="s">
        <v>1</v>
      </c>
      <c r="C20" s="52">
        <f>+(Assumptions!C41/360)*'Capex, WC'!C31</f>
        <v>660000</v>
      </c>
      <c r="D20" s="77"/>
      <c r="E20" s="52">
        <f>+(Assumptions!E41/360)*'Capex, WC'!E31</f>
        <v>990000</v>
      </c>
      <c r="F20" s="77"/>
      <c r="G20" s="52">
        <f>+(Assumptions!G41/360)*'Capex, WC'!G31</f>
        <v>1072500.0000000002</v>
      </c>
      <c r="H20" s="77"/>
      <c r="I20" s="52">
        <f>+(Assumptions!I41/360)*'Capex, WC'!I31</f>
        <v>1430000</v>
      </c>
      <c r="J20" s="80"/>
      <c r="K20" s="79">
        <f>SUM(C20:I20)</f>
        <v>4152500</v>
      </c>
    </row>
    <row r="21" spans="1:11" ht="5.5" customHeight="1" thickBot="1" x14ac:dyDescent="0.4">
      <c r="A21" s="78"/>
      <c r="B21" s="98"/>
      <c r="C21" s="54"/>
      <c r="D21" s="54"/>
      <c r="E21" s="54"/>
      <c r="F21" s="54"/>
      <c r="G21" s="54"/>
      <c r="H21" s="54"/>
      <c r="I21" s="54"/>
      <c r="J21" s="80"/>
      <c r="K21" s="81"/>
    </row>
    <row r="22" spans="1:11" ht="15" thickBot="1" x14ac:dyDescent="0.4">
      <c r="A22" s="78"/>
      <c r="B22" s="98" t="s">
        <v>3</v>
      </c>
      <c r="C22" s="52">
        <f>+(Assumptions!C43/360)*'Capex, WC'!C31</f>
        <v>0</v>
      </c>
      <c r="D22" s="77"/>
      <c r="E22" s="52">
        <f>+(Assumptions!E43/360)*'Capex, WC'!E31</f>
        <v>0</v>
      </c>
      <c r="F22" s="77"/>
      <c r="G22" s="52">
        <f>+(Assumptions!G43/360)*'Capex, WC'!G31</f>
        <v>0</v>
      </c>
      <c r="H22" s="77"/>
      <c r="I22" s="52">
        <f>+(Assumptions!I43/360)*'Capex, WC'!I31</f>
        <v>0</v>
      </c>
      <c r="J22" s="80"/>
      <c r="K22" s="79">
        <f>SUM(C22:I22)</f>
        <v>0</v>
      </c>
    </row>
    <row r="23" spans="1:11" ht="5.5" customHeight="1" thickBot="1" x14ac:dyDescent="0.4">
      <c r="A23" s="78"/>
      <c r="B23" s="98"/>
      <c r="C23" s="82"/>
      <c r="D23" s="83"/>
      <c r="E23" s="82"/>
      <c r="F23" s="83"/>
      <c r="G23" s="82"/>
      <c r="H23" s="83"/>
      <c r="I23" s="82"/>
      <c r="J23" s="80"/>
      <c r="K23" s="81"/>
    </row>
    <row r="24" spans="1:11" ht="15" thickBot="1" x14ac:dyDescent="0.4">
      <c r="A24" s="78"/>
      <c r="B24" s="98" t="s">
        <v>2</v>
      </c>
      <c r="C24" s="52">
        <f>+(Assumptions!C45/360)*'Capex, WC'!C29</f>
        <v>515625</v>
      </c>
      <c r="D24" s="77"/>
      <c r="E24" s="52">
        <f>+(Assumptions!E45/360)*'Capex, WC'!E29</f>
        <v>618750</v>
      </c>
      <c r="F24" s="77"/>
      <c r="G24" s="52">
        <f>+(Assumptions!G45/360)*'Capex, WC'!G29</f>
        <v>687500</v>
      </c>
      <c r="H24" s="77"/>
      <c r="I24" s="52">
        <f>+(Assumptions!I45/360)*'Capex, WC'!I29</f>
        <v>962500</v>
      </c>
      <c r="J24" s="80"/>
      <c r="K24" s="79">
        <f>SUM(C24:I24)</f>
        <v>2784375</v>
      </c>
    </row>
    <row r="25" spans="1:11" ht="5.5" customHeight="1" thickBot="1" x14ac:dyDescent="0.4">
      <c r="A25" s="78"/>
      <c r="B25" s="98"/>
      <c r="C25" s="54"/>
      <c r="D25" s="54"/>
      <c r="E25" s="54"/>
      <c r="F25" s="54"/>
      <c r="G25" s="54"/>
      <c r="H25" s="54"/>
      <c r="I25" s="54"/>
      <c r="J25" s="80"/>
      <c r="K25" s="81"/>
    </row>
    <row r="26" spans="1:11" ht="15" thickBot="1" x14ac:dyDescent="0.4">
      <c r="A26" s="78"/>
      <c r="B26" s="98" t="s">
        <v>61</v>
      </c>
      <c r="C26" s="79">
        <f>+C20-C22+C24</f>
        <v>1175625</v>
      </c>
      <c r="D26" s="54"/>
      <c r="E26" s="79">
        <f>+E20-E22+E24</f>
        <v>1608750</v>
      </c>
      <c r="F26" s="54"/>
      <c r="G26" s="79">
        <f>+G20-G22+G24</f>
        <v>1760000.0000000002</v>
      </c>
      <c r="H26" s="54"/>
      <c r="I26" s="79">
        <f>+I20-I22+I24</f>
        <v>2392500</v>
      </c>
      <c r="J26" s="80"/>
      <c r="K26" s="79">
        <f>SUM(C26:I26)</f>
        <v>6936875</v>
      </c>
    </row>
    <row r="27" spans="1:11" ht="5.5" customHeight="1" x14ac:dyDescent="0.35">
      <c r="A27" s="78"/>
      <c r="B27" s="98"/>
      <c r="C27" s="81"/>
      <c r="D27" s="84"/>
      <c r="E27" s="81"/>
      <c r="F27" s="84"/>
      <c r="G27" s="81"/>
      <c r="H27" s="84"/>
      <c r="I27" s="81"/>
      <c r="J27" s="80"/>
      <c r="K27" s="85"/>
    </row>
    <row r="28" spans="1:11" ht="15" thickBot="1" x14ac:dyDescent="0.4">
      <c r="A28" s="78"/>
      <c r="B28" s="99" t="s">
        <v>111</v>
      </c>
      <c r="C28" s="81"/>
      <c r="D28" s="84"/>
      <c r="E28" s="81"/>
      <c r="F28" s="84"/>
      <c r="G28" s="81"/>
      <c r="H28" s="84"/>
      <c r="I28" s="81"/>
      <c r="J28" s="78"/>
      <c r="K28" s="54"/>
    </row>
    <row r="29" spans="1:11" ht="15" thickBot="1" x14ac:dyDescent="0.4">
      <c r="A29" s="78"/>
      <c r="B29" s="98" t="s">
        <v>59</v>
      </c>
      <c r="C29" s="86">
        <f>+Assumptions!C4*Assumptions!C31*11</f>
        <v>4125000</v>
      </c>
      <c r="D29" s="87"/>
      <c r="E29" s="86">
        <f>+Assumptions!E4*Assumptions!E31*11</f>
        <v>4950000</v>
      </c>
      <c r="F29" s="87"/>
      <c r="G29" s="86">
        <f>+Assumptions!G4*Assumptions!G31*11</f>
        <v>5500000</v>
      </c>
      <c r="H29" s="87"/>
      <c r="I29" s="86">
        <f>+Assumptions!I4*Assumptions!I31*11</f>
        <v>7700000</v>
      </c>
      <c r="J29" s="78"/>
      <c r="K29" s="79">
        <f>SUM(C29:I29)</f>
        <v>22275000</v>
      </c>
    </row>
    <row r="30" spans="1:11" ht="5.5" customHeight="1" thickBot="1" x14ac:dyDescent="0.4">
      <c r="A30" s="78"/>
      <c r="B30" s="98"/>
      <c r="C30" s="87"/>
      <c r="D30" s="87"/>
      <c r="E30" s="87"/>
      <c r="F30" s="87"/>
      <c r="G30" s="87"/>
      <c r="H30" s="87"/>
      <c r="I30" s="87"/>
      <c r="J30" s="78"/>
      <c r="K30" s="54"/>
    </row>
    <row r="31" spans="1:11" ht="15" customHeight="1" thickBot="1" x14ac:dyDescent="0.4">
      <c r="A31" s="78"/>
      <c r="B31" s="98" t="s">
        <v>58</v>
      </c>
      <c r="C31" s="86">
        <f>+Assumptions!C4*(Assumptions!C33+Assumptions!C35)*11</f>
        <v>2640000</v>
      </c>
      <c r="D31" s="88"/>
      <c r="E31" s="86">
        <f>+Assumptions!E4*(Assumptions!E33+Assumptions!E35)*11</f>
        <v>3960000</v>
      </c>
      <c r="F31" s="88"/>
      <c r="G31" s="86">
        <f>+Assumptions!G4*(Assumptions!G33+Assumptions!G35)*11</f>
        <v>4290000.0000000009</v>
      </c>
      <c r="H31" s="88"/>
      <c r="I31" s="86">
        <f>+Assumptions!I4*(Assumptions!I33+Assumptions!I35)*11</f>
        <v>5720000</v>
      </c>
      <c r="J31" s="78"/>
      <c r="K31" s="79">
        <f>SUM(C31:I31)</f>
        <v>16610000</v>
      </c>
    </row>
    <row r="32" spans="1:11" ht="5.5" customHeight="1" thickBot="1" x14ac:dyDescent="0.4">
      <c r="A32" s="78"/>
      <c r="B32" s="98"/>
      <c r="C32" s="89"/>
      <c r="D32" s="90"/>
      <c r="E32" s="89"/>
      <c r="F32" s="90"/>
      <c r="G32" s="89"/>
      <c r="H32" s="90"/>
      <c r="I32" s="89"/>
      <c r="J32" s="78"/>
      <c r="K32" s="54"/>
    </row>
    <row r="33" spans="1:11" ht="15" thickBot="1" x14ac:dyDescent="0.4">
      <c r="A33" s="78"/>
      <c r="B33" s="98" t="s">
        <v>123</v>
      </c>
      <c r="C33" s="86">
        <f>+(Assumptions!C12*Assumptions!C37)*11*1.5</f>
        <v>805664.0625</v>
      </c>
      <c r="D33" s="88"/>
      <c r="E33" s="86">
        <f>+(Assumptions!E12*Assumptions!E37)*11*1.5</f>
        <v>671386.71875</v>
      </c>
      <c r="F33" s="88"/>
      <c r="G33" s="86">
        <f>+(Assumptions!G12*Assumptions!G37)*11*1.5</f>
        <v>716145.83333333349</v>
      </c>
      <c r="H33" s="88"/>
      <c r="I33" s="86">
        <f>+(Assumptions!I12*Assumptions!I37)*11*1.5</f>
        <v>1253255.2083333335</v>
      </c>
      <c r="J33" s="78"/>
      <c r="K33" s="79">
        <f>SUM(C33:I33)</f>
        <v>3446451.822916667</v>
      </c>
    </row>
    <row r="34" spans="1:11" ht="5.5" customHeight="1" thickBot="1" x14ac:dyDescent="0.4">
      <c r="A34" s="78"/>
      <c r="B34" s="98"/>
      <c r="C34" s="91"/>
      <c r="D34" s="92"/>
      <c r="E34" s="91"/>
      <c r="F34" s="92"/>
      <c r="G34" s="91"/>
      <c r="H34" s="92"/>
      <c r="I34" s="91"/>
      <c r="J34" s="80"/>
      <c r="K34" s="81"/>
    </row>
    <row r="35" spans="1:11" ht="15" thickBot="1" x14ac:dyDescent="0.4">
      <c r="A35" s="78"/>
      <c r="B35" s="98" t="s">
        <v>148</v>
      </c>
      <c r="C35" s="86">
        <f>5%*C29</f>
        <v>206250</v>
      </c>
      <c r="D35" s="92"/>
      <c r="E35" s="86">
        <f>5%*E29</f>
        <v>247500</v>
      </c>
      <c r="F35" s="92"/>
      <c r="G35" s="86">
        <f>5%*G29</f>
        <v>275000</v>
      </c>
      <c r="H35" s="92"/>
      <c r="I35" s="86">
        <f>5%*I29</f>
        <v>385000</v>
      </c>
      <c r="J35" s="80"/>
      <c r="K35" s="86">
        <f>5%*K29</f>
        <v>1113750</v>
      </c>
    </row>
    <row r="36" spans="1:11" ht="5.5" customHeight="1" thickBot="1" x14ac:dyDescent="0.4">
      <c r="A36" s="78"/>
      <c r="B36" s="98"/>
      <c r="C36" s="91"/>
      <c r="D36" s="92"/>
      <c r="E36" s="91"/>
      <c r="F36" s="92"/>
      <c r="G36" s="91"/>
      <c r="H36" s="92"/>
      <c r="I36" s="91"/>
      <c r="J36" s="78"/>
      <c r="K36" s="54"/>
    </row>
    <row r="37" spans="1:11" ht="15" thickBot="1" x14ac:dyDescent="0.4">
      <c r="A37" s="78"/>
      <c r="B37" s="98" t="s">
        <v>113</v>
      </c>
      <c r="C37" s="86">
        <f>+((C8+C10+C12)/10)+(C14/20)</f>
        <v>71750</v>
      </c>
      <c r="D37" s="88"/>
      <c r="E37" s="86">
        <f>+((E8+E10+E12)/10)+(E14/20)</f>
        <v>63000</v>
      </c>
      <c r="F37" s="88"/>
      <c r="G37" s="86">
        <f>+((G8+G10+G12)/10)+(G14/20)</f>
        <v>91000</v>
      </c>
      <c r="H37" s="88"/>
      <c r="I37" s="86">
        <f>+((I8+I10+I12)/10)+(I14/20)</f>
        <v>91000</v>
      </c>
      <c r="J37" s="78"/>
      <c r="K37" s="79">
        <f>SUM(C37:I37)</f>
        <v>316750</v>
      </c>
    </row>
    <row r="38" spans="1:11" ht="5.5" customHeight="1" thickBot="1" x14ac:dyDescent="0.4">
      <c r="A38" s="78"/>
      <c r="B38" s="98"/>
      <c r="C38" s="87"/>
      <c r="D38" s="87"/>
      <c r="E38" s="87"/>
      <c r="F38" s="87"/>
      <c r="G38" s="87"/>
      <c r="H38" s="87"/>
      <c r="I38" s="87"/>
      <c r="J38" s="78"/>
      <c r="K38" s="54"/>
    </row>
    <row r="39" spans="1:11" ht="15" customHeight="1" thickBot="1" x14ac:dyDescent="0.4">
      <c r="A39" s="78"/>
      <c r="B39" s="98" t="s">
        <v>134</v>
      </c>
      <c r="C39" s="86">
        <f>+C29-SUM(C31:C38)</f>
        <v>401335.9375</v>
      </c>
      <c r="D39" s="88"/>
      <c r="E39" s="86">
        <f>+E29-SUM(E31:E38)</f>
        <v>8113.28125</v>
      </c>
      <c r="F39" s="88"/>
      <c r="G39" s="86">
        <f>+G29-SUM(G31:G38)</f>
        <v>127854.16666666605</v>
      </c>
      <c r="H39" s="88"/>
      <c r="I39" s="86">
        <f>+I29-SUM(I31:I38)</f>
        <v>250744.79166666605</v>
      </c>
      <c r="J39" s="78"/>
      <c r="K39" s="79">
        <f>SUM(C39:I39)</f>
        <v>788048.17708333209</v>
      </c>
    </row>
    <row r="40" spans="1:11" ht="5.5" customHeight="1" x14ac:dyDescent="0.35">
      <c r="A40" s="78"/>
      <c r="B40" s="98"/>
      <c r="C40" s="91"/>
      <c r="D40" s="92"/>
      <c r="E40" s="91"/>
      <c r="F40" s="92"/>
      <c r="G40" s="91"/>
      <c r="H40" s="92"/>
      <c r="I40" s="91"/>
      <c r="J40" s="80"/>
      <c r="K40" s="93"/>
    </row>
    <row r="41" spans="1:11" ht="15" customHeight="1" x14ac:dyDescent="0.5">
      <c r="A41" s="78"/>
      <c r="B41" s="103" t="s">
        <v>114</v>
      </c>
      <c r="C41" s="94" t="s">
        <v>0</v>
      </c>
      <c r="D41" s="94"/>
      <c r="E41" s="94" t="s">
        <v>0</v>
      </c>
      <c r="F41" s="94"/>
      <c r="G41" s="94" t="s">
        <v>0</v>
      </c>
      <c r="H41" s="94"/>
      <c r="I41" s="94" t="s">
        <v>0</v>
      </c>
      <c r="J41" s="78"/>
      <c r="K41" s="94" t="s">
        <v>0</v>
      </c>
    </row>
    <row r="42" spans="1:11" ht="5.5" customHeight="1" x14ac:dyDescent="0.35">
      <c r="A42" s="78"/>
      <c r="B42" s="99"/>
      <c r="C42" s="94"/>
      <c r="D42" s="94"/>
      <c r="E42" s="94"/>
      <c r="F42" s="94"/>
      <c r="G42" s="94"/>
      <c r="H42" s="94"/>
      <c r="I42" s="94"/>
      <c r="J42" s="78"/>
      <c r="K42" s="94"/>
    </row>
    <row r="43" spans="1:11" ht="15" customHeight="1" x14ac:dyDescent="0.35">
      <c r="A43" s="78"/>
      <c r="B43" s="99" t="s">
        <v>107</v>
      </c>
      <c r="C43" s="54"/>
      <c r="D43" s="54"/>
      <c r="E43" s="54"/>
      <c r="F43" s="54"/>
      <c r="G43" s="54"/>
      <c r="H43" s="54"/>
      <c r="I43" s="54"/>
      <c r="J43" s="78"/>
      <c r="K43" s="78"/>
    </row>
    <row r="44" spans="1:11" ht="5.5" customHeight="1" thickBot="1" x14ac:dyDescent="0.4">
      <c r="A44" s="78"/>
      <c r="B44" s="98"/>
      <c r="C44" s="54"/>
      <c r="D44" s="54"/>
      <c r="E44" s="54"/>
      <c r="F44" s="54"/>
      <c r="G44" s="54"/>
      <c r="H44" s="54"/>
      <c r="I44" s="54"/>
      <c r="J44" s="78"/>
      <c r="K44" s="78"/>
    </row>
    <row r="45" spans="1:11" ht="15" customHeight="1" thickBot="1" x14ac:dyDescent="0.4">
      <c r="A45" s="78"/>
      <c r="B45" s="98" t="s">
        <v>115</v>
      </c>
      <c r="C45" s="52">
        <f>+Assumptions!C25*150000</f>
        <v>300000</v>
      </c>
      <c r="D45" s="77"/>
      <c r="E45" s="52">
        <f>+Assumptions!E25*100000</f>
        <v>300000</v>
      </c>
      <c r="F45" s="77"/>
      <c r="G45" s="52">
        <f>+(Assumptions!G50*3500)+(Assumptions!G52*120000)+(Assumptions!G54*250000)</f>
        <v>0</v>
      </c>
      <c r="H45" s="77"/>
      <c r="I45" s="52">
        <f>+(Assumptions!I50*3500)+(Assumptions!I52*120000)+(Assumptions!I54*250000)</f>
        <v>0</v>
      </c>
      <c r="J45" s="78"/>
      <c r="K45" s="79">
        <f>SUM(C45:I45)</f>
        <v>600000</v>
      </c>
    </row>
    <row r="46" spans="1:11" ht="5.5" customHeight="1" thickBot="1" x14ac:dyDescent="0.4">
      <c r="A46" s="78"/>
      <c r="B46" s="98"/>
      <c r="C46" s="68"/>
      <c r="D46" s="69"/>
      <c r="E46" s="68"/>
      <c r="F46" s="69"/>
      <c r="G46" s="68"/>
      <c r="H46" s="69"/>
      <c r="I46" s="68"/>
      <c r="J46" s="70"/>
      <c r="K46" s="71"/>
    </row>
    <row r="47" spans="1:11" ht="15" customHeight="1" thickBot="1" x14ac:dyDescent="0.4">
      <c r="A47" s="78"/>
      <c r="B47" s="98" t="s">
        <v>116</v>
      </c>
      <c r="C47" s="72">
        <v>30000</v>
      </c>
      <c r="D47" s="66"/>
      <c r="E47" s="72">
        <v>30000</v>
      </c>
      <c r="F47" s="66"/>
      <c r="G47" s="72"/>
      <c r="H47" s="66"/>
      <c r="I47" s="72"/>
      <c r="K47" s="67">
        <f>SUM(C47:I47)</f>
        <v>60000</v>
      </c>
    </row>
    <row r="48" spans="1:11" ht="5.5" customHeight="1" thickBot="1" x14ac:dyDescent="0.4">
      <c r="A48" s="78"/>
      <c r="B48" s="78"/>
      <c r="C48" s="66"/>
      <c r="D48" s="66"/>
      <c r="E48" s="66"/>
      <c r="F48" s="66"/>
      <c r="G48" s="66"/>
      <c r="H48" s="66"/>
      <c r="I48" s="66"/>
      <c r="K48" s="35"/>
    </row>
    <row r="49" spans="1:11" ht="15" customHeight="1" thickBot="1" x14ac:dyDescent="0.4">
      <c r="A49" s="78"/>
      <c r="B49" s="98" t="s">
        <v>147</v>
      </c>
      <c r="C49" s="52">
        <v>40000</v>
      </c>
      <c r="D49" s="77"/>
      <c r="E49" s="52">
        <v>40000</v>
      </c>
      <c r="F49" s="77"/>
      <c r="G49" s="52"/>
      <c r="H49" s="77"/>
      <c r="I49" s="52"/>
      <c r="J49" s="78"/>
      <c r="K49" s="79">
        <f>SUM(C49:I49)</f>
        <v>80000</v>
      </c>
    </row>
    <row r="50" spans="1:11" ht="5.5" customHeight="1" thickBot="1" x14ac:dyDescent="0.4">
      <c r="A50" s="78"/>
      <c r="B50" s="98"/>
      <c r="C50" s="66"/>
      <c r="D50" s="66"/>
      <c r="E50" s="66"/>
      <c r="F50" s="66"/>
      <c r="G50" s="66"/>
      <c r="H50" s="66"/>
      <c r="I50" s="66"/>
      <c r="K50" s="35"/>
    </row>
    <row r="51" spans="1:11" ht="15" customHeight="1" thickBot="1" x14ac:dyDescent="0.4">
      <c r="A51" s="78"/>
      <c r="B51" s="98" t="s">
        <v>117</v>
      </c>
      <c r="C51" s="72"/>
      <c r="D51" s="66"/>
      <c r="E51" s="72"/>
      <c r="F51" s="66"/>
      <c r="G51" s="72"/>
      <c r="H51" s="66"/>
      <c r="I51" s="72"/>
      <c r="K51" s="67">
        <f>SUM(C51:I51)</f>
        <v>0</v>
      </c>
    </row>
    <row r="52" spans="1:11" ht="5.5" customHeight="1" thickBot="1" x14ac:dyDescent="0.4">
      <c r="A52" s="78"/>
      <c r="B52" s="98"/>
      <c r="C52" s="71"/>
      <c r="D52" s="73"/>
      <c r="E52" s="71"/>
      <c r="F52" s="73"/>
      <c r="G52" s="71"/>
      <c r="H52" s="73"/>
      <c r="I52" s="71"/>
      <c r="K52" s="35"/>
    </row>
    <row r="53" spans="1:11" ht="15" customHeight="1" thickBot="1" x14ac:dyDescent="0.4">
      <c r="A53" s="78"/>
      <c r="B53" s="98" t="s">
        <v>110</v>
      </c>
      <c r="C53" s="52">
        <f>SUM(C45:C51)</f>
        <v>370000</v>
      </c>
      <c r="D53" s="77"/>
      <c r="E53" s="52">
        <f>SUM(E45:E51)</f>
        <v>370000</v>
      </c>
      <c r="F53" s="77"/>
      <c r="G53" s="52">
        <f>SUM(G45:G51)</f>
        <v>0</v>
      </c>
      <c r="H53" s="77"/>
      <c r="I53" s="52">
        <f>SUM(I45:I51)</f>
        <v>0</v>
      </c>
      <c r="J53" s="78"/>
      <c r="K53" s="79">
        <f>SUM(C53:I53)</f>
        <v>740000</v>
      </c>
    </row>
    <row r="54" spans="1:11" ht="5.5" customHeight="1" x14ac:dyDescent="0.35">
      <c r="A54" s="78"/>
      <c r="B54" s="98"/>
      <c r="C54" s="82"/>
      <c r="D54" s="83"/>
      <c r="E54" s="82"/>
      <c r="F54" s="83"/>
      <c r="G54" s="82"/>
      <c r="H54" s="83"/>
      <c r="I54" s="82"/>
      <c r="J54" s="80"/>
      <c r="K54" s="81"/>
    </row>
    <row r="55" spans="1:11" ht="15" customHeight="1" x14ac:dyDescent="0.35">
      <c r="A55" s="78"/>
      <c r="B55" s="99" t="s">
        <v>60</v>
      </c>
      <c r="C55" s="54"/>
      <c r="D55" s="54"/>
      <c r="E55" s="54"/>
      <c r="F55" s="54"/>
      <c r="G55" s="54"/>
      <c r="H55" s="54"/>
      <c r="I55" s="54"/>
      <c r="J55" s="80"/>
      <c r="K55" s="81"/>
    </row>
    <row r="56" spans="1:11" ht="5.5" customHeight="1" thickBot="1" x14ac:dyDescent="0.4">
      <c r="A56" s="78"/>
      <c r="B56" s="98"/>
      <c r="C56" s="54"/>
      <c r="D56" s="54"/>
      <c r="E56" s="54"/>
      <c r="F56" s="54"/>
      <c r="G56" s="54"/>
      <c r="H56" s="54"/>
      <c r="I56" s="54"/>
      <c r="J56" s="80"/>
      <c r="K56" s="81"/>
    </row>
    <row r="57" spans="1:11" ht="15" customHeight="1" thickBot="1" x14ac:dyDescent="0.4">
      <c r="A57" s="78"/>
      <c r="B57" s="98" t="s">
        <v>1</v>
      </c>
      <c r="C57" s="52">
        <f>+(Assumptions!C41/360)*'Capex, WC'!C68</f>
        <v>660000</v>
      </c>
      <c r="D57" s="77"/>
      <c r="E57" s="52">
        <f>+(Assumptions!E41/360)*'Capex, WC'!E68</f>
        <v>990000</v>
      </c>
      <c r="F57" s="77"/>
      <c r="G57" s="52">
        <f>+(Assumptions!G41/360)*'Capex, WC'!G68</f>
        <v>0</v>
      </c>
      <c r="H57" s="77"/>
      <c r="I57" s="52">
        <f>+(Assumptions!I41/360)*'Capex, WC'!I68</f>
        <v>0</v>
      </c>
      <c r="J57" s="80"/>
      <c r="K57" s="79">
        <f>SUM(C57:I57)</f>
        <v>1650000</v>
      </c>
    </row>
    <row r="58" spans="1:11" ht="5.5" customHeight="1" thickBot="1" x14ac:dyDescent="0.4">
      <c r="A58" s="78"/>
      <c r="B58" s="98"/>
      <c r="C58" s="54"/>
      <c r="D58" s="54"/>
      <c r="E58" s="54"/>
      <c r="F58" s="54"/>
      <c r="G58" s="54"/>
      <c r="H58" s="54"/>
      <c r="I58" s="54"/>
      <c r="J58" s="80"/>
      <c r="K58" s="81"/>
    </row>
    <row r="59" spans="1:11" ht="15" customHeight="1" thickBot="1" x14ac:dyDescent="0.4">
      <c r="A59" s="78"/>
      <c r="B59" s="98" t="s">
        <v>3</v>
      </c>
      <c r="C59" s="52">
        <f>+(Assumptions!C43/360)*'Capex, WC'!C68</f>
        <v>0</v>
      </c>
      <c r="D59" s="77"/>
      <c r="E59" s="52">
        <f>+(Assumptions!E43/360)*'Capex, WC'!E68</f>
        <v>0</v>
      </c>
      <c r="F59" s="77"/>
      <c r="G59" s="52">
        <f>+(Assumptions!G43/360)*'Capex, WC'!G68</f>
        <v>0</v>
      </c>
      <c r="H59" s="77"/>
      <c r="I59" s="52">
        <f>+(Assumptions!I43/360)*'Capex, WC'!I68</f>
        <v>0</v>
      </c>
      <c r="J59" s="80"/>
      <c r="K59" s="79">
        <f>SUM(C59:I59)</f>
        <v>0</v>
      </c>
    </row>
    <row r="60" spans="1:11" ht="5.5" customHeight="1" thickBot="1" x14ac:dyDescent="0.4">
      <c r="A60" s="78"/>
      <c r="B60" s="98"/>
      <c r="C60" s="82"/>
      <c r="D60" s="83"/>
      <c r="E60" s="82"/>
      <c r="F60" s="83"/>
      <c r="G60" s="82"/>
      <c r="H60" s="83"/>
      <c r="I60" s="82"/>
      <c r="J60" s="80"/>
      <c r="K60" s="81"/>
    </row>
    <row r="61" spans="1:11" ht="15" customHeight="1" thickBot="1" x14ac:dyDescent="0.4">
      <c r="A61" s="78"/>
      <c r="B61" s="98" t="s">
        <v>2</v>
      </c>
      <c r="C61" s="52">
        <f>+(Assumptions!C45/360)*'Capex, WC'!C66</f>
        <v>515625</v>
      </c>
      <c r="D61" s="77"/>
      <c r="E61" s="52">
        <f>+(Assumptions!E45/360)*'Capex, WC'!E66</f>
        <v>618750</v>
      </c>
      <c r="F61" s="77"/>
      <c r="G61" s="52">
        <f>+(Assumptions!G45/360)*'Capex, WC'!G66</f>
        <v>0</v>
      </c>
      <c r="H61" s="77"/>
      <c r="I61" s="52">
        <f>+(Assumptions!I45/360)*'Capex, WC'!I66</f>
        <v>0</v>
      </c>
      <c r="J61" s="80"/>
      <c r="K61" s="79">
        <f>SUM(C61:I61)</f>
        <v>1134375</v>
      </c>
    </row>
    <row r="62" spans="1:11" ht="5.5" customHeight="1" thickBot="1" x14ac:dyDescent="0.4">
      <c r="A62" s="78"/>
      <c r="B62" s="98"/>
      <c r="C62" s="54"/>
      <c r="D62" s="54"/>
      <c r="E62" s="54"/>
      <c r="F62" s="54"/>
      <c r="G62" s="54"/>
      <c r="H62" s="54"/>
      <c r="I62" s="54"/>
      <c r="J62" s="80"/>
      <c r="K62" s="81"/>
    </row>
    <row r="63" spans="1:11" ht="15" customHeight="1" thickBot="1" x14ac:dyDescent="0.4">
      <c r="A63" s="78"/>
      <c r="B63" s="98" t="s">
        <v>61</v>
      </c>
      <c r="C63" s="79">
        <f>+C57-C59+C61</f>
        <v>1175625</v>
      </c>
      <c r="D63" s="54"/>
      <c r="E63" s="79">
        <f>+E57-E59+E61</f>
        <v>1608750</v>
      </c>
      <c r="F63" s="54"/>
      <c r="G63" s="79">
        <f>+G57-G59+G61</f>
        <v>0</v>
      </c>
      <c r="H63" s="54"/>
      <c r="I63" s="79">
        <f>+I57-I59+I61</f>
        <v>0</v>
      </c>
      <c r="J63" s="80"/>
      <c r="K63" s="79">
        <f>SUM(C63:I63)</f>
        <v>2784375</v>
      </c>
    </row>
    <row r="64" spans="1:11" ht="15" customHeight="1" x14ac:dyDescent="0.35">
      <c r="A64" s="78"/>
      <c r="B64" s="98"/>
      <c r="C64" s="81"/>
      <c r="D64" s="84"/>
      <c r="E64" s="81"/>
      <c r="F64" s="84"/>
      <c r="G64" s="81"/>
      <c r="H64" s="84"/>
      <c r="I64" s="81"/>
      <c r="J64" s="80"/>
      <c r="K64" s="85"/>
    </row>
    <row r="65" spans="1:11" ht="15" customHeight="1" thickBot="1" x14ac:dyDescent="0.4">
      <c r="A65" s="78"/>
      <c r="B65" s="99" t="s">
        <v>111</v>
      </c>
      <c r="C65" s="81"/>
      <c r="D65" s="84"/>
      <c r="E65" s="81"/>
      <c r="F65" s="84"/>
      <c r="G65" s="81"/>
      <c r="H65" s="84"/>
      <c r="I65" s="81"/>
      <c r="J65" s="78"/>
      <c r="K65" s="54"/>
    </row>
    <row r="66" spans="1:11" ht="15" customHeight="1" thickBot="1" x14ac:dyDescent="0.4">
      <c r="A66" s="78"/>
      <c r="B66" s="98" t="s">
        <v>59</v>
      </c>
      <c r="C66" s="86">
        <f>+Assumptions!C4*Assumptions!C31*11</f>
        <v>4125000</v>
      </c>
      <c r="D66" s="87"/>
      <c r="E66" s="86">
        <f>+Assumptions!E4*Assumptions!E31*11</f>
        <v>4950000</v>
      </c>
      <c r="F66" s="87"/>
      <c r="G66" s="86">
        <f>+Assumptions!G42*Assumptions!G66*11</f>
        <v>0</v>
      </c>
      <c r="H66" s="87"/>
      <c r="I66" s="86">
        <f>+Assumptions!I42*Assumptions!I66*11</f>
        <v>0</v>
      </c>
      <c r="J66" s="78"/>
      <c r="K66" s="79">
        <f>SUM(C66:I66)</f>
        <v>9075000</v>
      </c>
    </row>
    <row r="67" spans="1:11" ht="5.5" customHeight="1" thickBot="1" x14ac:dyDescent="0.4">
      <c r="A67" s="78"/>
      <c r="B67" s="98"/>
      <c r="C67" s="87"/>
      <c r="D67" s="87"/>
      <c r="E67" s="87"/>
      <c r="F67" s="87"/>
      <c r="G67" s="87"/>
      <c r="H67" s="87"/>
      <c r="I67" s="87"/>
      <c r="J67" s="78"/>
      <c r="K67" s="54"/>
    </row>
    <row r="68" spans="1:11" ht="15" customHeight="1" thickBot="1" x14ac:dyDescent="0.4">
      <c r="A68" s="78"/>
      <c r="B68" s="98" t="s">
        <v>58</v>
      </c>
      <c r="C68" s="86">
        <f>+(Assumptions!C33+Assumptions!C35)*Assumptions!C4*11</f>
        <v>2640000</v>
      </c>
      <c r="D68" s="88"/>
      <c r="E68" s="86">
        <f>+(Assumptions!E33+Assumptions!E35)*Assumptions!E4*11</f>
        <v>3960000</v>
      </c>
      <c r="F68" s="88"/>
      <c r="G68" s="86">
        <f>+Assumptions!G42*(Assumptions!G68+Assumptions!G70)*11</f>
        <v>0</v>
      </c>
      <c r="H68" s="88"/>
      <c r="I68" s="86">
        <f>+Assumptions!I42*(Assumptions!I68+Assumptions!I70)*11</f>
        <v>0</v>
      </c>
      <c r="J68" s="78"/>
      <c r="K68" s="79">
        <f>SUM(C68:I68)</f>
        <v>6600000</v>
      </c>
    </row>
    <row r="69" spans="1:11" ht="5.5" customHeight="1" thickBot="1" x14ac:dyDescent="0.4">
      <c r="A69" s="78"/>
      <c r="B69" s="98"/>
      <c r="C69" s="89"/>
      <c r="D69" s="90"/>
      <c r="E69" s="89"/>
      <c r="F69" s="90"/>
      <c r="G69" s="89"/>
      <c r="H69" s="90"/>
      <c r="I69" s="89"/>
      <c r="J69" s="78"/>
      <c r="K69" s="54"/>
    </row>
    <row r="70" spans="1:11" ht="15" customHeight="1" thickBot="1" x14ac:dyDescent="0.4">
      <c r="A70" s="78"/>
      <c r="B70" s="98" t="s">
        <v>112</v>
      </c>
      <c r="C70" s="86">
        <f>+Assumptions!C27*Assumptions!C37*2*11</f>
        <v>110000</v>
      </c>
      <c r="D70" s="88"/>
      <c r="E70" s="86">
        <f>+Assumptions!E27*Assumptions!E37*2*11</f>
        <v>165000</v>
      </c>
      <c r="F70" s="88"/>
      <c r="G70" s="86">
        <f>+(Assumptions!G48*Assumptions!G72)*11*2</f>
        <v>0</v>
      </c>
      <c r="H70" s="88"/>
      <c r="I70" s="86">
        <f>+(Assumptions!I48*Assumptions!I72)*11*2</f>
        <v>0</v>
      </c>
      <c r="J70" s="78"/>
      <c r="K70" s="79">
        <f>SUM(C70:I70)</f>
        <v>275000</v>
      </c>
    </row>
    <row r="71" spans="1:11" ht="5.5" customHeight="1" thickBot="1" x14ac:dyDescent="0.4">
      <c r="A71" s="78"/>
      <c r="B71" s="98"/>
      <c r="C71" s="91"/>
      <c r="D71" s="92"/>
      <c r="E71" s="91"/>
      <c r="F71" s="92"/>
      <c r="G71" s="91"/>
      <c r="H71" s="92"/>
      <c r="I71" s="91"/>
      <c r="J71" s="80"/>
      <c r="K71" s="81"/>
    </row>
    <row r="72" spans="1:11" ht="15" customHeight="1" thickBot="1" x14ac:dyDescent="0.4">
      <c r="A72" s="78"/>
      <c r="B72" s="98" t="s">
        <v>148</v>
      </c>
      <c r="C72" s="86">
        <f>5%*C66</f>
        <v>206250</v>
      </c>
      <c r="D72" s="92"/>
      <c r="E72" s="86">
        <f>5%*E66</f>
        <v>247500</v>
      </c>
      <c r="F72" s="92"/>
      <c r="G72" s="86">
        <f>5%*G66</f>
        <v>0</v>
      </c>
      <c r="H72" s="92"/>
      <c r="I72" s="86">
        <f>5%*I66</f>
        <v>0</v>
      </c>
      <c r="J72" s="80"/>
      <c r="K72" s="86">
        <f>5%*K66</f>
        <v>453750</v>
      </c>
    </row>
    <row r="73" spans="1:11" ht="5.5" customHeight="1" thickBot="1" x14ac:dyDescent="0.4">
      <c r="A73" s="78"/>
      <c r="B73" s="98"/>
      <c r="C73" s="91"/>
      <c r="D73" s="92"/>
      <c r="E73" s="91"/>
      <c r="F73" s="92"/>
      <c r="G73" s="91"/>
      <c r="H73" s="92"/>
      <c r="I73" s="91"/>
      <c r="J73" s="78"/>
      <c r="K73" s="54"/>
    </row>
    <row r="74" spans="1:11" ht="15" thickBot="1" x14ac:dyDescent="0.4">
      <c r="A74" s="78"/>
      <c r="B74" s="98" t="s">
        <v>113</v>
      </c>
      <c r="C74" s="86">
        <f>+((C45+C47+C49)/10)+(C51/20)</f>
        <v>37000</v>
      </c>
      <c r="D74" s="88"/>
      <c r="E74" s="86">
        <f>+((E45+E47+E49)/10)+(E51/20)</f>
        <v>37000</v>
      </c>
      <c r="F74" s="88"/>
      <c r="G74" s="86">
        <f>+((G45+G47+G49)/10)+(G51/20)</f>
        <v>0</v>
      </c>
      <c r="H74" s="88"/>
      <c r="I74" s="86">
        <f>+((I45+I47+I49)/10)+(I51/20)</f>
        <v>0</v>
      </c>
      <c r="J74" s="78"/>
      <c r="K74" s="79">
        <f>SUM(C74:I74)</f>
        <v>74000</v>
      </c>
    </row>
    <row r="75" spans="1:11" ht="5.5" customHeight="1" thickBot="1" x14ac:dyDescent="0.4">
      <c r="A75" s="78"/>
      <c r="B75" s="98"/>
      <c r="C75" s="89"/>
      <c r="D75" s="90"/>
      <c r="E75" s="89"/>
      <c r="F75" s="90"/>
      <c r="G75" s="89"/>
      <c r="H75" s="90"/>
      <c r="I75" s="89"/>
      <c r="J75" s="78"/>
      <c r="K75" s="54"/>
    </row>
    <row r="76" spans="1:11" ht="15" customHeight="1" thickBot="1" x14ac:dyDescent="0.4">
      <c r="A76" s="78"/>
      <c r="B76" s="98" t="s">
        <v>134</v>
      </c>
      <c r="C76" s="86">
        <f>+C66-SUM(C68:C74)</f>
        <v>1131750</v>
      </c>
      <c r="D76" s="88"/>
      <c r="E76" s="86">
        <f>+E66-SUM(E68:E74)</f>
        <v>540500</v>
      </c>
      <c r="F76" s="88"/>
      <c r="G76" s="86">
        <f>+G66-SUM(G68:G74)</f>
        <v>0</v>
      </c>
      <c r="H76" s="88"/>
      <c r="I76" s="86">
        <f>+I66-SUM(I68:I74)</f>
        <v>0</v>
      </c>
      <c r="J76" s="78"/>
      <c r="K76" s="79">
        <f>SUM(C76:I76)</f>
        <v>1672250</v>
      </c>
    </row>
    <row r="77" spans="1:11" ht="5.5" customHeight="1" x14ac:dyDescent="0.35">
      <c r="A77" s="78"/>
      <c r="B77" s="98"/>
      <c r="C77" s="74"/>
      <c r="D77" s="75"/>
      <c r="E77" s="74"/>
      <c r="F77" s="75"/>
      <c r="G77" s="74"/>
      <c r="H77" s="75"/>
      <c r="I77" s="74"/>
      <c r="J77" s="70"/>
      <c r="K77" s="76"/>
    </row>
  </sheetData>
  <sheetProtection algorithmName="SHA-512" hashValue="GKNAUrYAZ0uVpx6ZL0c/Vi9mAHAnJUwNViva6pqxJ9Ki+7Mc5sWkuTkUNeM+X+7UcJIQIQlmHoJkLfLdASMRsQ==" saltValue="CMbb6i8x8w6K+DJ2sfPrbQ==" spinCount="100000" sheet="1" objects="1" scenarios="1"/>
  <protectedRanges>
    <protectedRange sqref="C51:I51 C14:I14" name="Range1"/>
  </protectedRanges>
  <pageMargins left="0.7" right="0.7" top="0.75" bottom="0.75" header="0.3" footer="0.3"/>
  <pageSetup orientation="landscape" r:id="rId1"/>
  <headerFooter>
    <oddFooter>&amp;R&amp;1#&amp;"Calibri"&amp;12&amp;K000000Official Use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249D9-8888-4CAA-916C-C5354963A8A9}">
  <dimension ref="A2:L55"/>
  <sheetViews>
    <sheetView workbookViewId="0"/>
  </sheetViews>
  <sheetFormatPr defaultRowHeight="14.5" x14ac:dyDescent="0.35"/>
  <cols>
    <col min="1" max="1" width="42.54296875" customWidth="1"/>
  </cols>
  <sheetData>
    <row r="2" spans="1:12" x14ac:dyDescent="0.35">
      <c r="K2" s="1"/>
      <c r="L2" s="1"/>
    </row>
    <row r="3" spans="1:12" x14ac:dyDescent="0.35">
      <c r="A3" s="6" t="s">
        <v>83</v>
      </c>
      <c r="K3" s="1"/>
      <c r="L3" s="1"/>
    </row>
    <row r="4" spans="1:12" x14ac:dyDescent="0.35">
      <c r="A4" s="1" t="s">
        <v>67</v>
      </c>
      <c r="B4" s="1" t="s">
        <v>89</v>
      </c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35">
      <c r="A5" s="1" t="s">
        <v>68</v>
      </c>
      <c r="B5" s="1" t="s">
        <v>69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35">
      <c r="A6" s="1" t="s">
        <v>154</v>
      </c>
      <c r="B6" s="1" t="s">
        <v>155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35">
      <c r="A7" s="1" t="s">
        <v>102</v>
      </c>
      <c r="B7" s="1" t="s">
        <v>90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35">
      <c r="A8" s="1" t="s">
        <v>130</v>
      </c>
      <c r="B8" s="1" t="s">
        <v>131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35">
      <c r="A9" s="1" t="s">
        <v>49</v>
      </c>
      <c r="B9" s="1" t="s">
        <v>70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35">
      <c r="A10" s="1" t="s">
        <v>50</v>
      </c>
      <c r="B10" s="1" t="s">
        <v>70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35">
      <c r="A11" s="1" t="s">
        <v>71</v>
      </c>
      <c r="B11" s="1" t="s">
        <v>72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35">
      <c r="A12" s="1" t="s">
        <v>73</v>
      </c>
      <c r="B12" s="1" t="s">
        <v>74</v>
      </c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35">
      <c r="A13" s="1" t="s">
        <v>152</v>
      </c>
      <c r="B13" s="1" t="s">
        <v>129</v>
      </c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35">
      <c r="A14" s="1" t="s">
        <v>75</v>
      </c>
      <c r="B14" s="1" t="s">
        <v>76</v>
      </c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35">
      <c r="A15" s="1" t="s">
        <v>77</v>
      </c>
      <c r="B15" s="1" t="s">
        <v>78</v>
      </c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35">
      <c r="A16" s="1" t="s">
        <v>79</v>
      </c>
      <c r="B16" s="1" t="s">
        <v>80</v>
      </c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35">
      <c r="A17" s="1" t="s">
        <v>106</v>
      </c>
      <c r="B17" s="1" t="s">
        <v>118</v>
      </c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35">
      <c r="A18" s="1" t="s">
        <v>4</v>
      </c>
      <c r="B18" s="1" t="s">
        <v>81</v>
      </c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35">
      <c r="A19" s="1" t="s">
        <v>5</v>
      </c>
      <c r="B19" s="1" t="s">
        <v>82</v>
      </c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35">
      <c r="A20" s="1" t="s">
        <v>6</v>
      </c>
      <c r="B20" s="1" t="s">
        <v>97</v>
      </c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35">
      <c r="A22" s="6" t="s">
        <v>136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35">
      <c r="A23" s="1" t="s">
        <v>119</v>
      </c>
      <c r="B23" s="1" t="s">
        <v>138</v>
      </c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35">
      <c r="A24" s="1" t="s">
        <v>125</v>
      </c>
      <c r="B24" s="1" t="s">
        <v>124</v>
      </c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35">
      <c r="A25" s="1" t="s">
        <v>126</v>
      </c>
      <c r="B25" s="1" t="s">
        <v>120</v>
      </c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35">
      <c r="A26" s="98" t="s">
        <v>147</v>
      </c>
      <c r="B26" s="1" t="s">
        <v>156</v>
      </c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35">
      <c r="A27" s="1" t="s">
        <v>121</v>
      </c>
      <c r="B27" s="1" t="s">
        <v>122</v>
      </c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35">
      <c r="A28" s="1" t="s">
        <v>85</v>
      </c>
      <c r="B28" s="1" t="s">
        <v>99</v>
      </c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35">
      <c r="A29" s="1" t="s">
        <v>86</v>
      </c>
      <c r="B29" s="1" t="s">
        <v>87</v>
      </c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35">
      <c r="A30" s="1" t="s">
        <v>137</v>
      </c>
      <c r="B30" s="1" t="s">
        <v>139</v>
      </c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35">
      <c r="A31" s="1" t="s">
        <v>135</v>
      </c>
      <c r="B31" s="1" t="s">
        <v>88</v>
      </c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35">
      <c r="A32" s="1" t="s">
        <v>59</v>
      </c>
      <c r="B32" s="1" t="s">
        <v>84</v>
      </c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x14ac:dyDescent="0.35">
      <c r="A33" s="1" t="s">
        <v>58</v>
      </c>
      <c r="B33" s="1" t="s">
        <v>91</v>
      </c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x14ac:dyDescent="0.35">
      <c r="A34" s="1" t="s">
        <v>127</v>
      </c>
      <c r="B34" s="1" t="s">
        <v>149</v>
      </c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x14ac:dyDescent="0.35">
      <c r="A35" s="98" t="s">
        <v>153</v>
      </c>
      <c r="B35" s="1" t="s">
        <v>150</v>
      </c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x14ac:dyDescent="0.35">
      <c r="A36" s="1" t="s">
        <v>113</v>
      </c>
      <c r="B36" s="1" t="s">
        <v>128</v>
      </c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x14ac:dyDescent="0.35">
      <c r="A37" s="1" t="s">
        <v>134</v>
      </c>
      <c r="B37" s="1" t="s">
        <v>151</v>
      </c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x14ac:dyDescent="0.35">
      <c r="L38" s="1"/>
    </row>
    <row r="39" spans="1:12" x14ac:dyDescent="0.35">
      <c r="L39" s="1"/>
    </row>
    <row r="40" spans="1:12" x14ac:dyDescent="0.35">
      <c r="L40" s="1"/>
    </row>
    <row r="41" spans="1:12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35">
      <c r="H42" s="1"/>
      <c r="I42" s="1"/>
      <c r="J42" s="1"/>
      <c r="K42" s="1"/>
      <c r="L42" s="1"/>
    </row>
    <row r="43" spans="1:12" x14ac:dyDescent="0.35">
      <c r="H43" s="1"/>
      <c r="I43" s="1"/>
      <c r="J43" s="1"/>
      <c r="K43" s="1"/>
      <c r="L43" s="1"/>
    </row>
    <row r="44" spans="1:12" x14ac:dyDescent="0.35">
      <c r="H44" s="1"/>
      <c r="I44" s="1"/>
      <c r="J44" s="1"/>
      <c r="K44" s="1"/>
      <c r="L44" s="1"/>
    </row>
    <row r="45" spans="1:12" x14ac:dyDescent="0.35">
      <c r="H45" s="1"/>
      <c r="I45" s="1"/>
      <c r="J45" s="1"/>
      <c r="K45" s="1"/>
      <c r="L45" s="1"/>
    </row>
    <row r="46" spans="1:12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</sheetData>
  <sheetProtection algorithmName="SHA-512" hashValue="MOeyaGX4d3KvmFjBkU+KpVa+xt7e6bMQoJrRSxnz45MzNFC2DV5SAHJxBgkIPYqapcP8ufrGJU6ioGkD+nnDIw==" saltValue="N3/6f6GSL7POJzcUbJgAdg==" spinCount="100000" sheet="1" objects="1" scenarios="1"/>
  <pageMargins left="0.7" right="0.7" top="0.75" bottom="0.75" header="0.3" footer="0.3"/>
  <pageSetup orientation="landscape" r:id="rId1"/>
  <headerFooter>
    <oddFooter>&amp;R&amp;1#&amp;"Calibri"&amp;12&amp;K000000Official Use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Introduction</vt:lpstr>
      <vt:lpstr>Assumptions</vt:lpstr>
      <vt:lpstr>Capex, WC</vt:lpstr>
      <vt:lpstr>Definitions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Heikki Mattila</dc:creator>
  <cp:lastModifiedBy>Heikki Mattila</cp:lastModifiedBy>
  <cp:lastPrinted>2020-05-17T11:19:47Z</cp:lastPrinted>
  <dcterms:created xsi:type="dcterms:W3CDTF">2020-05-13T09:56:18Z</dcterms:created>
  <dcterms:modified xsi:type="dcterms:W3CDTF">2020-06-02T15:19:23Z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e3fdf0-05a2-4411-bba7-a0945bfb4a0a_Enabled">
    <vt:lpwstr>true</vt:lpwstr>
  </property>
  <property fmtid="{D5CDD505-2E9C-101B-9397-08002B2CF9AE}" pid="3" name="MSIP_Label_48e3fdf0-05a2-4411-bba7-a0945bfb4a0a_SetDate">
    <vt:lpwstr>2020-05-20T12:15:56Z</vt:lpwstr>
  </property>
  <property fmtid="{D5CDD505-2E9C-101B-9397-08002B2CF9AE}" pid="4" name="MSIP_Label_48e3fdf0-05a2-4411-bba7-a0945bfb4a0a_Method">
    <vt:lpwstr>Privileged</vt:lpwstr>
  </property>
  <property fmtid="{D5CDD505-2E9C-101B-9397-08002B2CF9AE}" pid="5" name="MSIP_Label_48e3fdf0-05a2-4411-bba7-a0945bfb4a0a_Name">
    <vt:lpwstr>Label Only - Official Use</vt:lpwstr>
  </property>
  <property fmtid="{D5CDD505-2E9C-101B-9397-08002B2CF9AE}" pid="6" name="MSIP_Label_48e3fdf0-05a2-4411-bba7-a0945bfb4a0a_SiteId">
    <vt:lpwstr>31a2fec0-266b-4c67-b56e-2796d8f59c36</vt:lpwstr>
  </property>
  <property fmtid="{D5CDD505-2E9C-101B-9397-08002B2CF9AE}" pid="7" name="MSIP_Label_48e3fdf0-05a2-4411-bba7-a0945bfb4a0a_ActionId">
    <vt:lpwstr>2040f3e9-76b1-43c8-a0c9-0000854d7104</vt:lpwstr>
  </property>
  <property fmtid="{D5CDD505-2E9C-101B-9397-08002B2CF9AE}" pid="8" name="MSIP_Label_48e3fdf0-05a2-4411-bba7-a0945bfb4a0a_ContentBits">
    <vt:lpwstr>2</vt:lpwstr>
  </property>
</Properties>
</file>