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mc:AlternateContent xmlns:mc="http://schemas.openxmlformats.org/markup-compatibility/2006">
    <mc:Choice Requires="x15">
      <x15ac:absPath xmlns:x15ac="http://schemas.microsoft.com/office/spreadsheetml/2010/11/ac" url="https://ecologicalresearch-my.sharepoint.com/personal/simonhulka_ecologicalresearch_international/Documents/IFC/PCFMHANDBOOK/PCFM complete 20230712/"/>
    </mc:Choice>
  </mc:AlternateContent>
  <xr:revisionPtr revIDLastSave="0" documentId="8_{D6E28C7B-C55B-42FF-A26C-31384C6EEF95}" xr6:coauthVersionLast="47" xr6:coauthVersionMax="47" xr10:uidLastSave="{00000000-0000-0000-0000-000000000000}"/>
  <bookViews>
    <workbookView xWindow="-14070" yWindow="-18255" windowWidth="29040" windowHeight="17520" tabRatio="984" activeTab="4" xr2:uid="{00000000-000D-0000-FFFF-FFFF00000000}"/>
  </bookViews>
  <sheets>
    <sheet name="Instructions" sheetId="13" r:id="rId1"/>
    <sheet name="User Interface-Project setup" sheetId="23" r:id="rId2"/>
    <sheet name="User Interface-First Year" sheetId="21" r:id="rId3"/>
    <sheet name="User Interface-Subsequent Years" sheetId="1" r:id="rId4"/>
    <sheet name="User interface-Design explorer" sheetId="20" r:id="rId5"/>
    <sheet name="Design explorer evaluation" sheetId="18" r:id="rId6"/>
    <sheet name="Search type evaluation" sheetId="9" r:id="rId7"/>
    <sheet name="Transect width &amp; Search radius" sheetId="12" r:id="rId8"/>
    <sheet name="Search interval" sheetId="16" r:id="rId9"/>
    <sheet name="exponential persistence" sheetId="17" state="hidden" r:id="rId10"/>
    <sheet name="Carcass density" sheetId="15" r:id="rId11"/>
    <sheet name="questions&amp;ValidAnswers" sheetId="6" r:id="rId12"/>
    <sheet name="Coded Inputs" sheetId="7"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1" l="1"/>
  <c r="A6" i="21" l="1"/>
  <c r="E38" i="6" l="1"/>
  <c r="E39" i="6"/>
  <c r="E40" i="6"/>
  <c r="E41" i="6"/>
  <c r="E42" i="6"/>
  <c r="A2" i="7" l="1"/>
  <c r="D12" i="7"/>
  <c r="D11" i="7"/>
  <c r="D5" i="7"/>
  <c r="D4" i="7"/>
  <c r="D3" i="7"/>
  <c r="D2" i="7"/>
  <c r="N5" i="21" l="1"/>
  <c r="E5" i="21" l="1"/>
  <c r="N8" i="21"/>
  <c r="N6" i="21"/>
  <c r="N7" i="21"/>
  <c r="B3" i="15" l="1"/>
  <c r="C4" i="7"/>
  <c r="A3" i="15"/>
  <c r="C3" i="7"/>
  <c r="J10" i="18"/>
  <c r="C2" i="7"/>
  <c r="J9" i="18"/>
  <c r="E8" i="21"/>
  <c r="E6" i="21"/>
  <c r="A8" i="23"/>
  <c r="A7" i="23"/>
  <c r="A6" i="23"/>
  <c r="B213" i="15" l="1"/>
  <c r="B149" i="15"/>
  <c r="B233" i="15"/>
  <c r="B85" i="15"/>
  <c r="B63" i="15"/>
  <c r="B127" i="15"/>
  <c r="B191" i="15"/>
  <c r="B255" i="15"/>
  <c r="B64" i="15"/>
  <c r="B128" i="15"/>
  <c r="B192" i="15"/>
  <c r="B256" i="15"/>
  <c r="B73" i="15"/>
  <c r="B137" i="15"/>
  <c r="B26" i="15"/>
  <c r="B90" i="15"/>
  <c r="B154" i="15"/>
  <c r="B218" i="15"/>
  <c r="B148" i="15"/>
  <c r="B51" i="15"/>
  <c r="B115" i="15"/>
  <c r="B179" i="15"/>
  <c r="B243" i="15"/>
  <c r="B60" i="15"/>
  <c r="B124" i="15"/>
  <c r="B142" i="15"/>
  <c r="B196" i="15"/>
  <c r="B225" i="15"/>
  <c r="B254" i="15"/>
  <c r="B221" i="15"/>
  <c r="B270" i="15"/>
  <c r="B236" i="15"/>
  <c r="B22" i="15"/>
  <c r="B206" i="15"/>
  <c r="B102" i="15"/>
  <c r="B158" i="15"/>
  <c r="B109" i="15"/>
  <c r="B231" i="15"/>
  <c r="B168" i="15"/>
  <c r="B66" i="15"/>
  <c r="B27" i="15"/>
  <c r="B100" i="15"/>
  <c r="B93" i="15"/>
  <c r="B245" i="15"/>
  <c r="B48" i="15"/>
  <c r="B240" i="15"/>
  <c r="B202" i="15"/>
  <c r="B35" i="15"/>
  <c r="B61" i="15"/>
  <c r="B86" i="15"/>
  <c r="B201" i="15"/>
  <c r="B55" i="15"/>
  <c r="B119" i="15"/>
  <c r="B247" i="15"/>
  <c r="B43" i="15"/>
  <c r="B174" i="15"/>
  <c r="B37" i="15"/>
  <c r="B54" i="15"/>
  <c r="B229" i="15"/>
  <c r="B45" i="15"/>
  <c r="B261" i="15"/>
  <c r="B71" i="15"/>
  <c r="B135" i="15"/>
  <c r="B199" i="15"/>
  <c r="B263" i="15"/>
  <c r="B72" i="15"/>
  <c r="B136" i="15"/>
  <c r="B200" i="15"/>
  <c r="B264" i="15"/>
  <c r="B81" i="15"/>
  <c r="B145" i="15"/>
  <c r="B34" i="15"/>
  <c r="B98" i="15"/>
  <c r="B162" i="15"/>
  <c r="B226" i="15"/>
  <c r="B156" i="15"/>
  <c r="B59" i="15"/>
  <c r="B123" i="15"/>
  <c r="B187" i="15"/>
  <c r="B251" i="15"/>
  <c r="B68" i="15"/>
  <c r="B132" i="15"/>
  <c r="B110" i="15"/>
  <c r="B166" i="15"/>
  <c r="B209" i="15"/>
  <c r="B222" i="15"/>
  <c r="B205" i="15"/>
  <c r="B238" i="15"/>
  <c r="B220" i="15"/>
  <c r="B204" i="15"/>
  <c r="B46" i="15"/>
  <c r="B157" i="15"/>
  <c r="B150" i="15"/>
  <c r="B39" i="15"/>
  <c r="B40" i="15"/>
  <c r="B49" i="15"/>
  <c r="B194" i="15"/>
  <c r="B155" i="15"/>
  <c r="B214" i="15"/>
  <c r="B269" i="15"/>
  <c r="B265" i="15"/>
  <c r="B239" i="15"/>
  <c r="B57" i="15"/>
  <c r="B228" i="15"/>
  <c r="B257" i="15"/>
  <c r="B253" i="15"/>
  <c r="B183" i="15"/>
  <c r="B56" i="15"/>
  <c r="B120" i="15"/>
  <c r="B184" i="15"/>
  <c r="B65" i="15"/>
  <c r="B129" i="15"/>
  <c r="B82" i="15"/>
  <c r="B146" i="15"/>
  <c r="B210" i="15"/>
  <c r="B171" i="15"/>
  <c r="B116" i="15"/>
  <c r="B241" i="15"/>
  <c r="B29" i="15"/>
  <c r="B141" i="15"/>
  <c r="B77" i="15"/>
  <c r="B197" i="15"/>
  <c r="B79" i="15"/>
  <c r="B143" i="15"/>
  <c r="B207" i="15"/>
  <c r="B21" i="15"/>
  <c r="B80" i="15"/>
  <c r="B144" i="15"/>
  <c r="B208" i="15"/>
  <c r="B25" i="15"/>
  <c r="B89" i="15"/>
  <c r="B153" i="15"/>
  <c r="B42" i="15"/>
  <c r="B106" i="15"/>
  <c r="B170" i="15"/>
  <c r="B234" i="15"/>
  <c r="B164" i="15"/>
  <c r="B67" i="15"/>
  <c r="B131" i="15"/>
  <c r="B195" i="15"/>
  <c r="B259" i="15"/>
  <c r="B76" i="15"/>
  <c r="B262" i="15"/>
  <c r="B78" i="15"/>
  <c r="B134" i="15"/>
  <c r="B190" i="15"/>
  <c r="B189" i="15"/>
  <c r="B188" i="15"/>
  <c r="B165" i="15"/>
  <c r="B182" i="15"/>
  <c r="B173" i="15"/>
  <c r="B232" i="15"/>
  <c r="B130" i="15"/>
  <c r="B219" i="15"/>
  <c r="B38" i="15"/>
  <c r="B47" i="15"/>
  <c r="B112" i="15"/>
  <c r="B121" i="15"/>
  <c r="B185" i="15"/>
  <c r="B74" i="15"/>
  <c r="B138" i="15"/>
  <c r="B266" i="15"/>
  <c r="B99" i="15"/>
  <c r="B227" i="15"/>
  <c r="B44" i="15"/>
  <c r="B193" i="15"/>
  <c r="B107" i="15"/>
  <c r="B52" i="15"/>
  <c r="B249" i="15"/>
  <c r="B217" i="15"/>
  <c r="B23" i="15"/>
  <c r="B87" i="15"/>
  <c r="B151" i="15"/>
  <c r="B215" i="15"/>
  <c r="B24" i="15"/>
  <c r="B88" i="15"/>
  <c r="B152" i="15"/>
  <c r="B216" i="15"/>
  <c r="B33" i="15"/>
  <c r="B97" i="15"/>
  <c r="B161" i="15"/>
  <c r="B50" i="15"/>
  <c r="B114" i="15"/>
  <c r="B178" i="15"/>
  <c r="B242" i="15"/>
  <c r="B172" i="15"/>
  <c r="B75" i="15"/>
  <c r="B139" i="15"/>
  <c r="B203" i="15"/>
  <c r="B267" i="15"/>
  <c r="B84" i="15"/>
  <c r="B246" i="15"/>
  <c r="B126" i="15"/>
  <c r="B103" i="15"/>
  <c r="B104" i="15"/>
  <c r="B177" i="15"/>
  <c r="B258" i="15"/>
  <c r="B36" i="15"/>
  <c r="B101" i="15"/>
  <c r="B118" i="15"/>
  <c r="B175" i="15"/>
  <c r="B163" i="15"/>
  <c r="B108" i="15"/>
  <c r="B140" i="15"/>
  <c r="B235" i="15"/>
  <c r="B212" i="15"/>
  <c r="B237" i="15"/>
  <c r="B181" i="15"/>
  <c r="B117" i="15"/>
  <c r="B31" i="15"/>
  <c r="B95" i="15"/>
  <c r="B159" i="15"/>
  <c r="B223" i="15"/>
  <c r="B32" i="15"/>
  <c r="B96" i="15"/>
  <c r="B160" i="15"/>
  <c r="B224" i="15"/>
  <c r="B41" i="15"/>
  <c r="B105" i="15"/>
  <c r="B169" i="15"/>
  <c r="B58" i="15"/>
  <c r="B122" i="15"/>
  <c r="B186" i="15"/>
  <c r="B250" i="15"/>
  <c r="B180" i="15"/>
  <c r="B83" i="15"/>
  <c r="B147" i="15"/>
  <c r="B211" i="15"/>
  <c r="B28" i="15"/>
  <c r="B92" i="15"/>
  <c r="B230" i="15"/>
  <c r="B260" i="15"/>
  <c r="B70" i="15"/>
  <c r="B133" i="15"/>
  <c r="B30" i="15"/>
  <c r="B125" i="15"/>
  <c r="B94" i="15"/>
  <c r="B167" i="15"/>
  <c r="B113" i="15"/>
  <c r="B91" i="15"/>
  <c r="B244" i="15"/>
  <c r="B62" i="15"/>
  <c r="B111" i="15"/>
  <c r="B176" i="15"/>
  <c r="B198" i="15"/>
  <c r="B69" i="15"/>
  <c r="B268" i="15"/>
  <c r="B248" i="15"/>
  <c r="B252" i="15"/>
  <c r="B53" i="15"/>
  <c r="A7" i="21"/>
  <c r="A2" i="6"/>
  <c r="A3" i="7" s="1"/>
  <c r="A4" i="7" s="1"/>
  <c r="A5" i="7" s="1"/>
  <c r="A6" i="7" s="1"/>
  <c r="A7" i="7" s="1"/>
  <c r="A8" i="7" s="1"/>
  <c r="A9" i="7" s="1"/>
  <c r="A10" i="7" s="1"/>
  <c r="A11" i="7" s="1"/>
  <c r="A12" i="7" s="1"/>
  <c r="A13" i="7" s="1"/>
  <c r="A14" i="7" s="1"/>
  <c r="A15" i="7" s="1"/>
  <c r="A16" i="7" s="1"/>
  <c r="A17" i="7" s="1"/>
  <c r="A18" i="7" s="1"/>
  <c r="F6" i="7" l="1"/>
  <c r="C41" i="6" l="1"/>
  <c r="C40" i="6"/>
  <c r="C39" i="6"/>
  <c r="D39" i="6" s="1"/>
  <c r="C38" i="6"/>
  <c r="D38" i="6" s="1"/>
  <c r="D40" i="6" l="1"/>
  <c r="D8" i="7"/>
  <c r="D41" i="6"/>
  <c r="D9" i="7"/>
  <c r="C5" i="7"/>
  <c r="C6" i="7"/>
  <c r="C7" i="7"/>
  <c r="C8" i="7"/>
  <c r="C9" i="7"/>
  <c r="C10" i="7"/>
  <c r="C11" i="7"/>
  <c r="C12" i="7"/>
  <c r="C13" i="7"/>
  <c r="C14" i="7"/>
  <c r="C15" i="7"/>
  <c r="C16" i="7"/>
  <c r="C17" i="7"/>
  <c r="C18" i="7"/>
  <c r="E3" i="9"/>
  <c r="S35" i="9" s="1"/>
  <c r="J6" i="16"/>
  <c r="J7" i="16"/>
  <c r="J8" i="16"/>
  <c r="J9" i="16"/>
  <c r="I6" i="16"/>
  <c r="I7" i="16"/>
  <c r="I8" i="16"/>
  <c r="I9" i="16"/>
  <c r="H6" i="16"/>
  <c r="H7" i="16"/>
  <c r="H8" i="16"/>
  <c r="H9" i="16"/>
  <c r="L47" i="6"/>
  <c r="L48" i="6"/>
  <c r="L49" i="6"/>
  <c r="L50" i="6"/>
  <c r="I10" i="18"/>
  <c r="G10" i="18"/>
  <c r="H10" i="18" s="1"/>
  <c r="F10" i="18"/>
  <c r="E10" i="18"/>
  <c r="A22" i="12" l="1"/>
  <c r="I9" i="18"/>
  <c r="G9" i="18"/>
  <c r="H9" i="18" s="1"/>
  <c r="F9" i="18"/>
  <c r="E9" i="18"/>
  <c r="H24" i="15" l="1"/>
  <c r="H27" i="15"/>
  <c r="H35" i="15"/>
  <c r="H43" i="15"/>
  <c r="H51" i="15"/>
  <c r="H37" i="15"/>
  <c r="H45" i="15"/>
  <c r="H30" i="15"/>
  <c r="H46" i="15"/>
  <c r="H23" i="15"/>
  <c r="H31" i="15"/>
  <c r="H39" i="15"/>
  <c r="H47" i="15"/>
  <c r="H32" i="15"/>
  <c r="H40" i="15"/>
  <c r="H25" i="15"/>
  <c r="H41" i="15"/>
  <c r="H26" i="15"/>
  <c r="H42" i="15"/>
  <c r="H28" i="15"/>
  <c r="H36" i="15"/>
  <c r="H44" i="15"/>
  <c r="H21" i="15"/>
  <c r="H29" i="15"/>
  <c r="H22" i="15"/>
  <c r="H38" i="15"/>
  <c r="H48" i="15"/>
  <c r="H33" i="15"/>
  <c r="H49" i="15"/>
  <c r="H34" i="15"/>
  <c r="H50" i="15"/>
  <c r="C6" i="16"/>
  <c r="D6" i="16"/>
  <c r="E6" i="16"/>
  <c r="F6" i="16"/>
  <c r="G6" i="16"/>
  <c r="C7" i="16"/>
  <c r="D7" i="16"/>
  <c r="E7" i="16"/>
  <c r="F7" i="16"/>
  <c r="G7" i="16"/>
  <c r="C8" i="16"/>
  <c r="D8" i="16"/>
  <c r="E8" i="16"/>
  <c r="F8" i="16"/>
  <c r="G8" i="16"/>
  <c r="C9" i="16"/>
  <c r="D9" i="16"/>
  <c r="E9" i="16"/>
  <c r="F9" i="16"/>
  <c r="G9" i="16"/>
  <c r="B7" i="16"/>
  <c r="B8" i="16"/>
  <c r="B9" i="16"/>
  <c r="B6" i="16"/>
  <c r="A11" i="1" l="1"/>
  <c r="C3" i="15" l="1"/>
  <c r="A6" i="15" s="1"/>
  <c r="F39" i="6"/>
  <c r="F40" i="6"/>
  <c r="F41" i="6"/>
  <c r="F42" i="6"/>
  <c r="G42" i="6"/>
  <c r="G43" i="6"/>
  <c r="G44" i="6"/>
  <c r="G45" i="6"/>
  <c r="E46" i="6"/>
  <c r="F46" i="6"/>
  <c r="G46" i="6"/>
  <c r="G52" i="6"/>
  <c r="G53" i="6"/>
  <c r="D54" i="6"/>
  <c r="E54" i="6"/>
  <c r="F54" i="6"/>
  <c r="G54" i="6"/>
  <c r="C42" i="6"/>
  <c r="C45" i="6"/>
  <c r="D45" i="6" s="1"/>
  <c r="E45" i="6" s="1"/>
  <c r="C46" i="6"/>
  <c r="D14" i="7" s="1"/>
  <c r="C47" i="6"/>
  <c r="D47" i="6" s="1"/>
  <c r="E47" i="6" s="1"/>
  <c r="F47" i="6" s="1"/>
  <c r="G47" i="6" s="1"/>
  <c r="C48" i="6"/>
  <c r="D48" i="6" s="1"/>
  <c r="E48" i="6" s="1"/>
  <c r="F48" i="6" s="1"/>
  <c r="G48" i="6" s="1"/>
  <c r="D16" i="7" s="1"/>
  <c r="C49" i="6"/>
  <c r="D49" i="6" s="1"/>
  <c r="E49" i="6" s="1"/>
  <c r="F49" i="6" s="1"/>
  <c r="D17" i="7" s="1"/>
  <c r="C50" i="6"/>
  <c r="D50" i="6" s="1"/>
  <c r="E50" i="6" s="1"/>
  <c r="C51" i="6"/>
  <c r="D51" i="6" s="1"/>
  <c r="E51" i="6" s="1"/>
  <c r="F51" i="6" s="1"/>
  <c r="G51" i="6" s="1"/>
  <c r="C52" i="6"/>
  <c r="D52" i="6" s="1"/>
  <c r="E52" i="6" s="1"/>
  <c r="C53" i="6"/>
  <c r="D53" i="6" s="1"/>
  <c r="E53" i="6" s="1"/>
  <c r="F53" i="6" s="1"/>
  <c r="C54" i="6"/>
  <c r="C55" i="6"/>
  <c r="C56" i="6"/>
  <c r="C57" i="6"/>
  <c r="C58" i="6"/>
  <c r="C59" i="6"/>
  <c r="C60" i="6"/>
  <c r="C61" i="6"/>
  <c r="B35" i="6"/>
  <c r="B36" i="6"/>
  <c r="B37" i="6"/>
  <c r="B38" i="6"/>
  <c r="B39" i="6"/>
  <c r="B40" i="6"/>
  <c r="B41" i="6"/>
  <c r="B42" i="6"/>
  <c r="B43" i="6"/>
  <c r="B44" i="6"/>
  <c r="B45" i="6"/>
  <c r="B46" i="6"/>
  <c r="B47" i="6"/>
  <c r="B48" i="6"/>
  <c r="B49" i="6"/>
  <c r="B50" i="6"/>
  <c r="B51" i="6"/>
  <c r="B52" i="6"/>
  <c r="B53" i="6"/>
  <c r="B54" i="6"/>
  <c r="B55" i="6"/>
  <c r="B56" i="6"/>
  <c r="B57" i="6"/>
  <c r="B58" i="6"/>
  <c r="B59" i="6"/>
  <c r="B60" i="6"/>
  <c r="A35" i="6"/>
  <c r="A36" i="6"/>
  <c r="A37" i="6"/>
  <c r="A38" i="6"/>
  <c r="A39" i="6"/>
  <c r="A40" i="6"/>
  <c r="A41" i="6"/>
  <c r="A42" i="6"/>
  <c r="A43" i="6"/>
  <c r="A44" i="6"/>
  <c r="A45" i="6"/>
  <c r="A46" i="6"/>
  <c r="A47" i="6"/>
  <c r="A48" i="6"/>
  <c r="A49" i="6"/>
  <c r="A50" i="6"/>
  <c r="A51" i="6"/>
  <c r="A52" i="6"/>
  <c r="A53" i="6"/>
  <c r="A54" i="6"/>
  <c r="A55" i="6"/>
  <c r="A56" i="6"/>
  <c r="A57" i="6"/>
  <c r="A58" i="6"/>
  <c r="A59" i="6"/>
  <c r="A60" i="6"/>
  <c r="D42" i="6" l="1"/>
  <c r="D10" i="7"/>
  <c r="C7" i="9" s="1"/>
  <c r="F50" i="6"/>
  <c r="D18" i="7"/>
  <c r="B13" i="15"/>
  <c r="D17" i="15" s="1"/>
  <c r="B10" i="15"/>
  <c r="A17" i="15" s="1"/>
  <c r="B12" i="15"/>
  <c r="B11" i="15"/>
  <c r="D7" i="7"/>
  <c r="G49" i="6"/>
  <c r="A3" i="9"/>
  <c r="G50" i="6"/>
  <c r="D46" i="6"/>
  <c r="D7" i="9"/>
  <c r="F45" i="6"/>
  <c r="C9" i="18"/>
  <c r="F52" i="6"/>
  <c r="H42" i="6"/>
  <c r="C34" i="6"/>
  <c r="D34" i="6" s="1"/>
  <c r="E34" i="6" s="1"/>
  <c r="C35" i="6"/>
  <c r="D35" i="6" s="1"/>
  <c r="E35" i="6" s="1"/>
  <c r="C36" i="6"/>
  <c r="D13" i="7" l="1"/>
  <c r="D9" i="18" s="1"/>
  <c r="E14" i="18"/>
  <c r="E15" i="18"/>
  <c r="B14" i="18"/>
  <c r="B15" i="18"/>
  <c r="G22" i="1"/>
  <c r="C3" i="16"/>
  <c r="C5" i="18"/>
  <c r="C3" i="9"/>
  <c r="C4" i="12"/>
  <c r="C28" i="12" s="1"/>
  <c r="B5" i="18"/>
  <c r="A3" i="16"/>
  <c r="B3" i="9"/>
  <c r="B4" i="12"/>
  <c r="B28" i="12" s="1"/>
  <c r="A4" i="12"/>
  <c r="A28" i="12" s="1"/>
  <c r="B3" i="16"/>
  <c r="A5" i="18"/>
  <c r="A7" i="9"/>
  <c r="E4" i="12"/>
  <c r="A7" i="12" s="1"/>
  <c r="B7" i="9"/>
  <c r="B9" i="18"/>
  <c r="F35" i="6"/>
  <c r="G35" i="6"/>
  <c r="H35" i="6"/>
  <c r="I35" i="6"/>
  <c r="J35" i="6"/>
  <c r="D36" i="6"/>
  <c r="E36" i="6" s="1"/>
  <c r="F36" i="6"/>
  <c r="G36" i="6"/>
  <c r="H36" i="6"/>
  <c r="I36" i="6"/>
  <c r="J36" i="6"/>
  <c r="F37" i="6"/>
  <c r="G37" i="6"/>
  <c r="H37" i="6"/>
  <c r="I37" i="6"/>
  <c r="J37" i="6"/>
  <c r="F38" i="6"/>
  <c r="G38" i="6"/>
  <c r="H38" i="6"/>
  <c r="I38" i="6"/>
  <c r="G39" i="6"/>
  <c r="H39" i="6"/>
  <c r="I39" i="6"/>
  <c r="G40" i="6"/>
  <c r="H40" i="6"/>
  <c r="I40" i="6"/>
  <c r="G41" i="6"/>
  <c r="H41" i="6"/>
  <c r="I41" i="6"/>
  <c r="I42" i="6"/>
  <c r="J42" i="6"/>
  <c r="H43" i="6"/>
  <c r="I43" i="6"/>
  <c r="J43" i="6"/>
  <c r="H44" i="6"/>
  <c r="I44" i="6"/>
  <c r="J44" i="6"/>
  <c r="I45" i="6"/>
  <c r="J45" i="6"/>
  <c r="I46" i="6"/>
  <c r="J46" i="6"/>
  <c r="H47" i="6"/>
  <c r="H49" i="6"/>
  <c r="G3" i="16" s="1"/>
  <c r="H50" i="6"/>
  <c r="H3" i="16" s="1"/>
  <c r="H51" i="6"/>
  <c r="I51" i="6"/>
  <c r="J51" i="6"/>
  <c r="H52" i="6"/>
  <c r="I52" i="6"/>
  <c r="J52" i="6"/>
  <c r="H53" i="6"/>
  <c r="I53" i="6"/>
  <c r="J53" i="6"/>
  <c r="H54" i="6"/>
  <c r="I54" i="6"/>
  <c r="J54" i="6"/>
  <c r="D55" i="6"/>
  <c r="E55" i="6"/>
  <c r="F55" i="6"/>
  <c r="G55" i="6"/>
  <c r="H55" i="6"/>
  <c r="I55" i="6"/>
  <c r="J55" i="6"/>
  <c r="D56" i="6"/>
  <c r="E56" i="6"/>
  <c r="F56" i="6"/>
  <c r="G56" i="6"/>
  <c r="H56" i="6"/>
  <c r="I56" i="6"/>
  <c r="J56" i="6"/>
  <c r="D57" i="6"/>
  <c r="E57" i="6"/>
  <c r="F57" i="6"/>
  <c r="G57" i="6"/>
  <c r="H57" i="6"/>
  <c r="I57" i="6"/>
  <c r="J57" i="6"/>
  <c r="D58" i="6"/>
  <c r="E58" i="6"/>
  <c r="F58" i="6"/>
  <c r="G58" i="6"/>
  <c r="H58" i="6"/>
  <c r="I58" i="6"/>
  <c r="J58" i="6"/>
  <c r="D59" i="6"/>
  <c r="E59" i="6"/>
  <c r="F59" i="6"/>
  <c r="G59" i="6"/>
  <c r="H59" i="6"/>
  <c r="I59" i="6"/>
  <c r="J59" i="6"/>
  <c r="D60" i="6"/>
  <c r="E60" i="6"/>
  <c r="F60" i="6"/>
  <c r="G60" i="6"/>
  <c r="H60" i="6"/>
  <c r="I60" i="6"/>
  <c r="J60" i="6"/>
  <c r="D61" i="6"/>
  <c r="E61" i="6"/>
  <c r="F61" i="6"/>
  <c r="G61" i="6"/>
  <c r="H61" i="6"/>
  <c r="I61" i="6"/>
  <c r="J61" i="6"/>
  <c r="F34" i="6"/>
  <c r="G34" i="6"/>
  <c r="H34" i="6"/>
  <c r="I34" i="6"/>
  <c r="J34" i="6"/>
  <c r="C37" i="6"/>
  <c r="D37" i="6" s="1"/>
  <c r="E37" i="6" s="1"/>
  <c r="D6" i="7"/>
  <c r="H46" i="6"/>
  <c r="B61" i="6"/>
  <c r="B34" i="6"/>
  <c r="A34" i="6"/>
  <c r="E7" i="9" l="1"/>
  <c r="C24" i="9" s="1"/>
  <c r="C28" i="18" s="1"/>
  <c r="B24" i="9"/>
  <c r="B28" i="18" s="1"/>
  <c r="G20" i="1"/>
  <c r="G21" i="1"/>
  <c r="A31" i="16"/>
  <c r="A25" i="12"/>
  <c r="D25" i="12"/>
  <c r="B25" i="12"/>
  <c r="G32" i="18" s="1"/>
  <c r="C25" i="12"/>
  <c r="H33" i="18" s="1"/>
  <c r="D37" i="18" s="1"/>
  <c r="D5" i="18"/>
  <c r="B35" i="16"/>
  <c r="B19" i="18" s="1"/>
  <c r="A35" i="16"/>
  <c r="B31" i="16"/>
  <c r="I50" i="6"/>
  <c r="J50" i="6" s="1"/>
  <c r="K50" i="6" s="1"/>
  <c r="I47" i="6"/>
  <c r="I49" i="6"/>
  <c r="J49" i="6" s="1"/>
  <c r="K49" i="6" s="1"/>
  <c r="C17" i="15"/>
  <c r="H48" i="6"/>
  <c r="H45" i="6"/>
  <c r="A8" i="1"/>
  <c r="A9" i="1"/>
  <c r="A10" i="1"/>
  <c r="A12" i="1"/>
  <c r="A13" i="1"/>
  <c r="A14" i="1"/>
  <c r="A15" i="1"/>
  <c r="A16" i="1"/>
  <c r="A17" i="1"/>
  <c r="A18" i="1"/>
  <c r="A19" i="1"/>
  <c r="A20" i="1"/>
  <c r="A21" i="1"/>
  <c r="A22" i="1"/>
  <c r="A32" i="6"/>
  <c r="A61" i="6" s="1"/>
  <c r="C29" i="18" l="1"/>
  <c r="A24" i="9"/>
  <c r="J47" i="6"/>
  <c r="K47" i="6" s="1"/>
  <c r="D15" i="7"/>
  <c r="D14" i="18"/>
  <c r="D15" i="18"/>
  <c r="A19" i="18"/>
  <c r="B23" i="18" s="1"/>
  <c r="B17" i="15"/>
  <c r="C15" i="18" s="1"/>
  <c r="B29" i="18"/>
  <c r="H32" i="18"/>
  <c r="D36" i="18" s="1"/>
  <c r="D4" i="12"/>
  <c r="B31" i="12" s="1"/>
  <c r="D3" i="16"/>
  <c r="D3" i="9"/>
  <c r="G33" i="18"/>
  <c r="C37" i="18" s="1"/>
  <c r="C36" i="18"/>
  <c r="F33" i="18"/>
  <c r="B37" i="18" s="1"/>
  <c r="F32" i="18"/>
  <c r="B36" i="18" s="1"/>
  <c r="C24" i="18"/>
  <c r="C23" i="18"/>
  <c r="I48" i="6"/>
  <c r="J48" i="6" s="1"/>
  <c r="B11" i="9" l="1"/>
  <c r="C14" i="18"/>
  <c r="C42" i="18" s="1"/>
  <c r="D35" i="12"/>
  <c r="H11" i="9" s="1"/>
  <c r="B35" i="12"/>
  <c r="F11" i="9" s="1"/>
  <c r="C35" i="12"/>
  <c r="G11" i="9" s="1"/>
  <c r="A35" i="12"/>
  <c r="E11" i="9" s="1"/>
  <c r="B24" i="18"/>
  <c r="G19" i="1"/>
  <c r="C43" i="18"/>
  <c r="D28" i="12"/>
  <c r="A31" i="12"/>
  <c r="K48" i="6"/>
  <c r="E3" i="16" s="1"/>
  <c r="D31" i="16" s="1"/>
  <c r="F3" i="16"/>
  <c r="C35" i="16" s="1"/>
  <c r="C19" i="18" s="1"/>
  <c r="A11" i="9"/>
  <c r="B42" i="18"/>
  <c r="C11" i="9"/>
  <c r="D11" i="9"/>
  <c r="B38" i="12" l="1"/>
  <c r="F18" i="9" s="1"/>
  <c r="B46" i="18"/>
  <c r="C46" i="18"/>
  <c r="B43" i="18"/>
  <c r="B47" i="18" s="1"/>
  <c r="D21" i="20"/>
  <c r="C47" i="18"/>
  <c r="C21" i="20"/>
  <c r="C22" i="20"/>
  <c r="C31" i="16"/>
  <c r="B38" i="16" s="1"/>
  <c r="A38" i="16" s="1"/>
  <c r="D38" i="12"/>
  <c r="H18" i="9" s="1"/>
  <c r="C38" i="12"/>
  <c r="G18" i="9" s="1"/>
  <c r="I33" i="18"/>
  <c r="E37" i="18" s="1"/>
  <c r="F10" i="1"/>
  <c r="B11" i="20"/>
  <c r="I32" i="18"/>
  <c r="E36" i="18" s="1"/>
  <c r="A38" i="12"/>
  <c r="E18" i="9" s="1"/>
  <c r="D35" i="16"/>
  <c r="D19" i="18" s="1"/>
  <c r="D24" i="18"/>
  <c r="D43" i="18" s="1"/>
  <c r="D23" i="18"/>
  <c r="D42" i="18" s="1"/>
  <c r="B18" i="7"/>
  <c r="A42" i="16" l="1"/>
  <c r="A15" i="9" s="1"/>
  <c r="B48" i="18"/>
  <c r="C48" i="18"/>
  <c r="D46" i="18"/>
  <c r="D20" i="20"/>
  <c r="D47" i="18"/>
  <c r="D22" i="20"/>
  <c r="C20" i="20"/>
  <c r="B12" i="20"/>
  <c r="D42" i="16"/>
  <c r="D15" i="9" s="1"/>
  <c r="C42" i="16"/>
  <c r="C15" i="9" s="1"/>
  <c r="B42" i="16"/>
  <c r="B15" i="9" s="1"/>
  <c r="F11" i="1"/>
  <c r="E24" i="18"/>
  <c r="E43" i="18" s="1"/>
  <c r="E23" i="18"/>
  <c r="E42" i="18" s="1"/>
  <c r="B16" i="7"/>
  <c r="B15" i="7"/>
  <c r="B4" i="7"/>
  <c r="B2" i="7"/>
  <c r="B3" i="7"/>
  <c r="B5" i="7"/>
  <c r="B7" i="7"/>
  <c r="B6" i="7"/>
  <c r="B8" i="7"/>
  <c r="B9" i="7"/>
  <c r="B10" i="7"/>
  <c r="B11" i="7"/>
  <c r="B12" i="7"/>
  <c r="B13" i="7"/>
  <c r="B14" i="7"/>
  <c r="B17" i="7"/>
  <c r="E46" i="18" l="1"/>
  <c r="D48" i="18"/>
  <c r="D19" i="20"/>
  <c r="E47" i="18"/>
  <c r="C19" i="20"/>
  <c r="E28" i="9"/>
  <c r="A28" i="9"/>
  <c r="A32" i="9" s="1"/>
  <c r="B28" i="9"/>
  <c r="B32" i="9" s="1"/>
  <c r="F28" i="9"/>
  <c r="H28" i="9"/>
  <c r="D28" i="9"/>
  <c r="D32" i="9" s="1"/>
  <c r="G28" i="9"/>
  <c r="C28" i="9"/>
  <c r="C32" i="9" s="1"/>
  <c r="F42" i="18"/>
  <c r="F43" i="18"/>
  <c r="C18" i="20" l="1"/>
  <c r="C23" i="20" s="1"/>
  <c r="F46" i="18"/>
  <c r="E48" i="18"/>
  <c r="F47" i="18"/>
  <c r="D18" i="20"/>
  <c r="D23" i="20" s="1"/>
  <c r="B39" i="9"/>
  <c r="F8" i="1" s="1"/>
  <c r="B9" i="20" l="1"/>
  <c r="D39" i="9"/>
  <c r="C39" i="9"/>
  <c r="E39" i="9"/>
  <c r="A39" i="9"/>
  <c r="B8" i="20" l="1"/>
  <c r="F7" i="1"/>
  <c r="B10" i="20"/>
  <c r="D43" i="9"/>
  <c r="C43" i="9"/>
  <c r="A43" i="9"/>
  <c r="B43" i="9"/>
  <c r="F9" i="1"/>
  <c r="A47" i="9" l="1"/>
  <c r="A49" i="9" s="1"/>
  <c r="B22" i="20"/>
  <c r="C47" i="9"/>
  <c r="C49" i="9" s="1"/>
  <c r="B20" i="20"/>
  <c r="B47" i="9"/>
  <c r="B49" i="9" s="1"/>
  <c r="B21" i="20"/>
  <c r="D47" i="9"/>
  <c r="D49" i="9" s="1"/>
  <c r="B19" i="20"/>
  <c r="F21" i="1"/>
  <c r="F22" i="1"/>
  <c r="F20" i="1"/>
  <c r="F19" i="1"/>
  <c r="F18" i="1" l="1"/>
  <c r="G18" i="1" l="1"/>
  <c r="B18" i="20"/>
  <c r="B2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Rabie</author>
  </authors>
  <commentList>
    <comment ref="A6" authorId="0" shapeId="0" xr:uid="{00000000-0006-0000-0100-000001000000}">
      <text>
        <r>
          <rPr>
            <sz val="9"/>
            <color indexed="81"/>
            <rFont val="Tahoma"/>
            <family val="2"/>
          </rPr>
          <t>Influences the recommended sampling fraction.</t>
        </r>
      </text>
    </comment>
    <comment ref="A7" authorId="0" shapeId="0" xr:uid="{00000000-0006-0000-0100-000002000000}">
      <text>
        <r>
          <rPr>
            <sz val="9"/>
            <color indexed="81"/>
            <rFont val="Tahoma"/>
            <family val="2"/>
          </rPr>
          <t>Influences the fraction of carcasses falling in searched areass</t>
        </r>
      </text>
    </comment>
    <comment ref="A8" authorId="0" shapeId="0" xr:uid="{00000000-0006-0000-0100-000003000000}">
      <text>
        <r>
          <rPr>
            <sz val="9"/>
            <color indexed="81"/>
            <rFont val="Tahoma"/>
            <family val="2"/>
          </rPr>
          <t>Influences the fraction of carcasses falling in searched areas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Paul Rabie</author>
  </authors>
  <commentList>
    <comment ref="D4" authorId="0" shapeId="0" xr:uid="{00000000-0006-0000-0200-000001000000}">
      <text>
        <r>
          <rPr>
            <sz val="9"/>
            <color indexed="81"/>
            <rFont val="Tahoma"/>
            <family val="2"/>
          </rPr>
          <t>The recommended PCFM design should be considered a starting point.  The information in this box is repeated in the User interface-Design explorer tab</t>
        </r>
      </text>
    </comment>
    <comment ref="A5" authorId="0" shapeId="0" xr:uid="{00000000-0006-0000-0200-000002000000}">
      <text>
        <r>
          <rPr>
            <sz val="9"/>
            <color indexed="81"/>
            <rFont val="Tahoma"/>
            <family val="2"/>
          </rPr>
          <t xml:space="preserve">If feasible, larger plots can increase the quality of the resulting data. </t>
        </r>
      </text>
    </comment>
    <comment ref="D5" authorId="0" shapeId="0" xr:uid="{00000000-0006-0000-0200-000003000000}">
      <text>
        <r>
          <rPr>
            <sz val="9"/>
            <color indexed="81"/>
            <rFont val="Tahoma"/>
            <family val="2"/>
          </rPr>
          <t>A larger sampling fraction increases the detection probability and reduces variance in the mortality estimate</t>
        </r>
      </text>
    </comment>
    <comment ref="A6" authorId="0" shapeId="0" xr:uid="{00000000-0006-0000-0200-000004000000}">
      <text>
        <r>
          <rPr>
            <sz val="9"/>
            <color indexed="81"/>
            <rFont val="Tahoma"/>
            <family val="2"/>
          </rPr>
          <t>Vegetation height influences searcher efficiency and transect width.  This question asks about the least-vegetated parts of  the wind farm</t>
        </r>
      </text>
    </comment>
    <comment ref="D6" authorId="0" shapeId="0" xr:uid="{00000000-0006-0000-0200-000005000000}">
      <text>
        <r>
          <rPr>
            <sz val="9"/>
            <color indexed="81"/>
            <rFont val="Tahoma"/>
            <family val="2"/>
          </rPr>
          <t>If feasible, circular full plots increase the detection probability and the precision of the mortality estimates compared to road and pad plots</t>
        </r>
      </text>
    </comment>
    <comment ref="A7" authorId="0" shapeId="0" xr:uid="{00000000-0006-0000-0200-000006000000}">
      <text>
        <r>
          <rPr>
            <sz val="9"/>
            <color indexed="81"/>
            <rFont val="Tahoma"/>
            <family val="2"/>
          </rPr>
          <t>Vegetation height influences searcher efficiency and transect width.  This question asks about the most-vegetated parts of  the wind farm</t>
        </r>
      </text>
    </comment>
    <comment ref="D9" authorId="0" shapeId="0" xr:uid="{00000000-0006-0000-0200-000007000000}">
      <text>
        <r>
          <rPr>
            <sz val="9"/>
            <color indexed="81"/>
            <rFont val="Tahoma"/>
            <family val="2"/>
          </rPr>
          <t>More frequent searches increase the detection probability</t>
        </r>
      </text>
    </comment>
    <comment ref="D10" authorId="0" shapeId="0" xr:uid="{00000000-0006-0000-0200-000008000000}">
      <text>
        <r>
          <rPr>
            <sz val="9"/>
            <color indexed="81"/>
            <rFont val="Tahoma"/>
            <family val="2"/>
          </rPr>
          <t>More trial carcasses are helpful in heterogeneous environments.  More trial carcasses increase precision and accuracy of mortality estimates</t>
        </r>
      </text>
    </comment>
    <comment ref="D11" authorId="0" shapeId="0" xr:uid="{00000000-0006-0000-0200-000009000000}">
      <text>
        <r>
          <rPr>
            <sz val="9"/>
            <color indexed="81"/>
            <rFont val="Tahoma"/>
            <family val="2"/>
          </rPr>
          <t>More trial carcasses are helpful in heterogeneous environments.  More trial carcasses increase precision and accuracy of mortality estimates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Paul Rabie</author>
  </authors>
  <commentList>
    <comment ref="E5" authorId="0" shapeId="0" xr:uid="{00000000-0006-0000-0300-000001000000}">
      <text>
        <r>
          <rPr>
            <sz val="9"/>
            <color indexed="81"/>
            <rFont val="Tahoma"/>
            <family val="2"/>
          </rPr>
          <t>The recommended PCFM design should be considered a starting point.  The information in this box is repeated in the User interface-Design explorer tab</t>
        </r>
      </text>
    </comment>
    <comment ref="E7" authorId="0" shapeId="0" xr:uid="{00000000-0006-0000-0300-000002000000}">
      <text>
        <r>
          <rPr>
            <sz val="9"/>
            <color indexed="81"/>
            <rFont val="Tahoma"/>
            <family val="2"/>
          </rPr>
          <t>A larger sampling fraction increases the detection probability and increases precision in the mortality estimate</t>
        </r>
      </text>
    </comment>
    <comment ref="A8" authorId="0" shapeId="0" xr:uid="{00000000-0006-0000-0300-000003000000}">
      <text>
        <r>
          <rPr>
            <sz val="9"/>
            <color indexed="81"/>
            <rFont val="Tahoma"/>
            <family val="2"/>
          </rPr>
          <t>Influences the fraction of carcasses available on a road and pad plot configuration</t>
        </r>
      </text>
    </comment>
    <comment ref="E8" authorId="0" shapeId="0" xr:uid="{00000000-0006-0000-0300-000004000000}">
      <text>
        <r>
          <rPr>
            <sz val="9"/>
            <color indexed="81"/>
            <rFont val="Tahoma"/>
            <family val="2"/>
          </rPr>
          <t>If feasible, circular full plots increase the detection probability and the precision of the mortality estimates compared to road and pad plots</t>
        </r>
      </text>
    </comment>
    <comment ref="A9" authorId="0" shapeId="0" xr:uid="{00000000-0006-0000-0300-000005000000}">
      <text>
        <r>
          <rPr>
            <sz val="9"/>
            <color indexed="81"/>
            <rFont val="Tahoma"/>
            <family val="2"/>
          </rPr>
          <t>Optimal PCFM designs vary according to the size and types of species at risk</t>
        </r>
      </text>
    </comment>
    <comment ref="E9" authorId="0" shapeId="0" xr:uid="{00000000-0006-0000-0300-000006000000}">
      <text>
        <r>
          <rPr>
            <sz val="9"/>
            <color indexed="81"/>
            <rFont val="Tahoma"/>
            <family val="2"/>
          </rPr>
          <t>Larger search areas increase detection probability and the precision of the estimates.</t>
        </r>
      </text>
    </comment>
    <comment ref="A10" authorId="0" shapeId="0" xr:uid="{00000000-0006-0000-0300-000007000000}">
      <text>
        <r>
          <rPr>
            <sz val="9"/>
            <color indexed="81"/>
            <rFont val="Tahoma"/>
            <family val="2"/>
          </rPr>
          <t>Optimal PCFM designs vary according to the size and types of species at risk</t>
        </r>
      </text>
    </comment>
    <comment ref="E10" authorId="0" shapeId="0" xr:uid="{00000000-0006-0000-0300-000008000000}">
      <text>
        <r>
          <rPr>
            <sz val="9"/>
            <color indexed="81"/>
            <rFont val="Tahoma"/>
            <family val="2"/>
          </rPr>
          <t>Closely spaced transects  increase the detection probability and increase precision</t>
        </r>
      </text>
    </comment>
    <comment ref="A11" authorId="0" shapeId="0" xr:uid="{00000000-0006-0000-0300-000009000000}">
      <text>
        <r>
          <rPr>
            <sz val="9"/>
            <color indexed="81"/>
            <rFont val="Tahoma"/>
            <family val="2"/>
          </rPr>
          <t>Optimal PCFM designs vary according to the size and types of species at risk</t>
        </r>
      </text>
    </comment>
    <comment ref="E11" authorId="0" shapeId="0" xr:uid="{00000000-0006-0000-0300-00000A000000}">
      <text>
        <r>
          <rPr>
            <sz val="9"/>
            <color indexed="81"/>
            <rFont val="Tahoma"/>
            <family val="2"/>
          </rPr>
          <t>More frequent searches increase the detection probability and increase precision</t>
        </r>
      </text>
    </comment>
    <comment ref="A12" authorId="0" shapeId="0" xr:uid="{00000000-0006-0000-0300-00000B000000}">
      <text>
        <r>
          <rPr>
            <sz val="9"/>
            <color indexed="81"/>
            <rFont val="Tahoma"/>
            <family val="2"/>
          </rPr>
          <t>Optimal PCFM designs vary according to the size and types of species at risk</t>
        </r>
      </text>
    </comment>
    <comment ref="E12" authorId="0" shapeId="0" xr:uid="{00000000-0006-0000-0300-00000C000000}">
      <text>
        <r>
          <rPr>
            <sz val="9"/>
            <color indexed="81"/>
            <rFont val="Tahoma"/>
            <family val="2"/>
          </rPr>
          <t>More trial carcasses are helpful in heterogeneous environments.  More trial carcasses increase precision and accuracy of mortality estimates</t>
        </r>
      </text>
    </comment>
    <comment ref="A13" authorId="0" shapeId="0" xr:uid="{00000000-0006-0000-0300-00000D000000}">
      <text>
        <r>
          <rPr>
            <sz val="9"/>
            <color indexed="81"/>
            <rFont val="Tahoma"/>
            <family val="2"/>
          </rPr>
          <t xml:space="preserve">If feasible, larger plots can increase the quality of the resulting data. </t>
        </r>
      </text>
    </comment>
    <comment ref="E13" authorId="0" shapeId="0" xr:uid="{00000000-0006-0000-0300-00000E000000}">
      <text>
        <r>
          <rPr>
            <sz val="9"/>
            <color indexed="81"/>
            <rFont val="Tahoma"/>
            <family val="2"/>
          </rPr>
          <t>More trial carcasses are helpful in heterogeneous environments.  More trial carcasses increase precision and accuracy of mortality estimates</t>
        </r>
      </text>
    </comment>
    <comment ref="A14" authorId="0" shapeId="0" xr:uid="{00000000-0006-0000-0300-00000F000000}">
      <text>
        <r>
          <rPr>
            <sz val="9"/>
            <color indexed="81"/>
            <rFont val="Tahoma"/>
            <family val="2"/>
          </rPr>
          <t>Vegetation height influences searcher efficiency and transect width.  This question asks about the least-vegetated parts of  the wind farm</t>
        </r>
      </text>
    </comment>
    <comment ref="A15" authorId="0" shapeId="0" xr:uid="{00000000-0006-0000-0300-000010000000}">
      <text>
        <r>
          <rPr>
            <sz val="9"/>
            <color indexed="81"/>
            <rFont val="Tahoma"/>
            <family val="2"/>
          </rPr>
          <t>Vegetation height influences searcher efficiency and transect width.  This question asks about the most-vegetated parts of  the wind farm</t>
        </r>
      </text>
    </comment>
    <comment ref="A16" authorId="0" shapeId="0" xr:uid="{00000000-0006-0000-0300-000011000000}">
      <text>
        <r>
          <rPr>
            <sz val="9"/>
            <color indexed="81"/>
            <rFont val="Tahoma"/>
            <family val="2"/>
          </rPr>
          <t xml:space="preserve">Rugged terrain degrades searcher efficiency </t>
        </r>
      </text>
    </comment>
    <comment ref="A17" authorId="0" shapeId="0" xr:uid="{00000000-0006-0000-0300-000012000000}">
      <text>
        <r>
          <rPr>
            <sz val="9"/>
            <color indexed="81"/>
            <rFont val="Tahoma"/>
            <family val="2"/>
          </rPr>
          <t>Hazards may include animals or rugged terrain</t>
        </r>
      </text>
    </comment>
    <comment ref="A18" authorId="0" shapeId="0" xr:uid="{00000000-0006-0000-0300-000013000000}">
      <text>
        <r>
          <rPr>
            <sz val="9"/>
            <color indexed="81"/>
            <rFont val="Tahoma"/>
            <family val="2"/>
          </rPr>
          <t>Carcass removal dynamics influence detection probability and search interval</t>
        </r>
      </text>
    </comment>
    <comment ref="F18" authorId="0" shapeId="0" xr:uid="{00000000-0006-0000-0300-000014000000}">
      <text>
        <r>
          <rPr>
            <sz val="9"/>
            <color indexed="81"/>
            <rFont val="Tahoma"/>
            <family val="2"/>
          </rPr>
          <t>This index is the lowest detection probability index among the size classes of interest at the facility.  This number cannot exceed the sampling fraction</t>
        </r>
      </text>
    </comment>
    <comment ref="A19" authorId="0" shapeId="0" xr:uid="{00000000-0006-0000-0300-000015000000}">
      <text>
        <r>
          <rPr>
            <sz val="9"/>
            <color indexed="81"/>
            <rFont val="Tahoma"/>
            <family val="2"/>
          </rPr>
          <t>Carcass removal dynamics influence detection probability and search interval</t>
        </r>
      </text>
    </comment>
    <comment ref="A20" authorId="0" shapeId="0" xr:uid="{00000000-0006-0000-0300-000016000000}">
      <text>
        <r>
          <rPr>
            <sz val="9"/>
            <color indexed="81"/>
            <rFont val="Tahoma"/>
            <family val="2"/>
          </rPr>
          <t>Carcass removal dynamics influence detection probability and search interval</t>
        </r>
      </text>
    </comment>
    <comment ref="A21" authorId="0" shapeId="0" xr:uid="{00000000-0006-0000-0300-000017000000}">
      <text>
        <r>
          <rPr>
            <sz val="9"/>
            <color indexed="81"/>
            <rFont val="Tahoma"/>
            <family val="2"/>
          </rPr>
          <t>Carcass removal dynamics influence detection probability and search interval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Paul Rabie</author>
  </authors>
  <commentList>
    <comment ref="A6" authorId="0" shapeId="0" xr:uid="{00000000-0006-0000-0400-000001000000}">
      <text>
        <r>
          <rPr>
            <sz val="9"/>
            <color indexed="81"/>
            <rFont val="Tahoma"/>
            <family val="2"/>
          </rPr>
          <t>The recommended PCFM design should be considered a starting point.  The information in this box is repeated in the User interface-Design explorer tab</t>
        </r>
      </text>
    </comment>
    <comment ref="A8" authorId="0" shapeId="0" xr:uid="{00000000-0006-0000-0400-000002000000}">
      <text>
        <r>
          <rPr>
            <sz val="9"/>
            <color indexed="81"/>
            <rFont val="Tahoma"/>
            <family val="2"/>
          </rPr>
          <t>A larger sampling fraction increases the detection probability and reduces variance in the mortality estimate</t>
        </r>
      </text>
    </comment>
    <comment ref="C8" authorId="0" shapeId="0" xr:uid="{00000000-0006-0000-0400-000003000000}">
      <text>
        <r>
          <rPr>
            <sz val="9"/>
            <color indexed="81"/>
            <rFont val="Tahoma"/>
            <family val="2"/>
          </rPr>
          <t>This number cannot exceed the total number of turbines on the facility</t>
        </r>
      </text>
    </comment>
    <comment ref="D8" authorId="0" shapeId="0" xr:uid="{00000000-0006-0000-0400-000004000000}">
      <text>
        <r>
          <rPr>
            <sz val="9"/>
            <color indexed="81"/>
            <rFont val="Tahoma"/>
            <charset val="1"/>
          </rPr>
          <t>This number cannot exceed the total number of turbines at the facility</t>
        </r>
      </text>
    </comment>
    <comment ref="A9" authorId="0" shapeId="0" xr:uid="{00000000-0006-0000-0400-000005000000}">
      <text>
        <r>
          <rPr>
            <sz val="9"/>
            <color indexed="81"/>
            <rFont val="Tahoma"/>
            <family val="2"/>
          </rPr>
          <t>If feasible, circular full plots increase the detection probability and the precision of the mortality estimates compared to road and pad plots</t>
        </r>
      </text>
    </comment>
    <comment ref="A10" authorId="0" shapeId="0" xr:uid="{00000000-0006-0000-0400-000006000000}">
      <text>
        <r>
          <rPr>
            <sz val="9"/>
            <color indexed="81"/>
            <rFont val="Tahoma"/>
            <family val="2"/>
          </rPr>
          <t>Larger search areas increase detection probability and the precision of the estimates.</t>
        </r>
      </text>
    </comment>
    <comment ref="A11" authorId="0" shapeId="0" xr:uid="{00000000-0006-0000-0400-000007000000}">
      <text>
        <r>
          <rPr>
            <sz val="9"/>
            <color indexed="81"/>
            <rFont val="Tahoma"/>
            <family val="2"/>
          </rPr>
          <t>Closely spaced transects take are more labor intensive, but increase the detection probability</t>
        </r>
      </text>
    </comment>
    <comment ref="C11" authorId="0" shapeId="0" xr:uid="{00000000-0006-0000-0400-000008000000}">
      <text>
        <r>
          <rPr>
            <sz val="9"/>
            <color indexed="81"/>
            <rFont val="Tahoma"/>
            <family val="2"/>
          </rPr>
          <t>Needs to be integer valued between 1 and 20</t>
        </r>
      </text>
    </comment>
    <comment ref="D11" authorId="0" shapeId="0" xr:uid="{00000000-0006-0000-0400-000009000000}">
      <text>
        <r>
          <rPr>
            <sz val="9"/>
            <color indexed="81"/>
            <rFont val="Tahoma"/>
            <family val="2"/>
          </rPr>
          <t>Needs to be integer valued between 1 and 20</t>
        </r>
      </text>
    </comment>
    <comment ref="A12" authorId="0" shapeId="0" xr:uid="{00000000-0006-0000-0400-00000A000000}">
      <text>
        <r>
          <rPr>
            <sz val="9"/>
            <color indexed="81"/>
            <rFont val="Tahoma"/>
            <family val="2"/>
          </rPr>
          <t>More frequent searches increase the detection probability</t>
        </r>
      </text>
    </comment>
    <comment ref="B18" authorId="0" shapeId="0" xr:uid="{00000000-0006-0000-0400-00000B000000}">
      <text>
        <r>
          <rPr>
            <sz val="9"/>
            <color indexed="81"/>
            <rFont val="Tahoma"/>
            <family val="2"/>
          </rPr>
          <t>This index is the lowest detection probability index among the size classes of interest at the facility.  This number cannot exceed the sampling fraction</t>
        </r>
      </text>
    </comment>
    <comment ref="C18" authorId="0" shapeId="0" xr:uid="{00000000-0006-0000-0400-00000C000000}">
      <text>
        <r>
          <rPr>
            <sz val="9"/>
            <color indexed="81"/>
            <rFont val="Tahoma"/>
            <family val="2"/>
          </rPr>
          <t>This index is the lowest detection probability index among the size classes of interest at the facility.  This number cannot exceed the sampling fraction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Paul Rabie</author>
  </authors>
  <commentList>
    <comment ref="A35" authorId="0" shapeId="0" xr:uid="{00000000-0006-0000-0600-000001000000}">
      <text>
        <r>
          <rPr>
            <sz val="9"/>
            <color indexed="81"/>
            <rFont val="Tahoma"/>
            <family val="2"/>
          </rPr>
          <t xml:space="preserve">Road &amp; Pad max sampling fraction is twice this value with a max of 1.0
</t>
        </r>
      </text>
    </comment>
  </commentList>
</comments>
</file>

<file path=xl/sharedStrings.xml><?xml version="1.0" encoding="utf-8"?>
<sst xmlns="http://schemas.openxmlformats.org/spreadsheetml/2006/main" count="595" uniqueCount="306">
  <si>
    <t>Questions</t>
  </si>
  <si>
    <t>Yes</t>
  </si>
  <si>
    <t>No</t>
  </si>
  <si>
    <t>Bare</t>
  </si>
  <si>
    <t>Unknown</t>
  </si>
  <si>
    <t>Question</t>
  </si>
  <si>
    <t>questionRef</t>
  </si>
  <si>
    <t>Valid answers</t>
  </si>
  <si>
    <t>Total number of questions</t>
  </si>
  <si>
    <t>Codes</t>
  </si>
  <si>
    <t>Hub height</t>
  </si>
  <si>
    <t>blade length</t>
  </si>
  <si>
    <t>Pad size</t>
  </si>
  <si>
    <t>size</t>
  </si>
  <si>
    <t>Coded inputs</t>
  </si>
  <si>
    <t>Assume Bats present</t>
  </si>
  <si>
    <t>Assume small birds present</t>
  </si>
  <si>
    <t>Assume large birds present</t>
  </si>
  <si>
    <t>Numeric</t>
  </si>
  <si>
    <t>Boolean</t>
  </si>
  <si>
    <t>off-pad walkability</t>
  </si>
  <si>
    <t>4-step impossible -&gt;easy</t>
  </si>
  <si>
    <t>4-step over 50 -&gt; bare</t>
  </si>
  <si>
    <t>20 to 30 days</t>
  </si>
  <si>
    <t>Recommendation</t>
  </si>
  <si>
    <t>User Inputs</t>
  </si>
  <si>
    <t>Bat</t>
  </si>
  <si>
    <t>veg less than 20 cm</t>
  </si>
  <si>
    <t>veg 20 to 50 cm</t>
  </si>
  <si>
    <t>veg over 50 cm</t>
  </si>
  <si>
    <t>Recommend FP</t>
  </si>
  <si>
    <t>Search Radius (M)</t>
  </si>
  <si>
    <t>Full plot, Bats</t>
  </si>
  <si>
    <t>Transect spacing for plots (M)</t>
  </si>
  <si>
    <t>Search Interval</t>
  </si>
  <si>
    <t>Consider scanning search</t>
  </si>
  <si>
    <t>Plot type</t>
  </si>
  <si>
    <t>This tab takes the user input from the User Interface and assigns numeric codes to the responses for ease of programming</t>
  </si>
  <si>
    <t>Grey = Tab description</t>
  </si>
  <si>
    <t>This tab defines the questions that appear on the User Interface tab and defines the acceptable responses for the drop-down menues</t>
  </si>
  <si>
    <t>This tab evaluates the feasibility of a search that goes beyond the boundary of the turbine pad and access road.  If it is possible (i.e. permissible &amp; safe) to search off the turbine pad, it is usually desireable to do so, to increase the search area</t>
  </si>
  <si>
    <t>However, detection probability for smaller carcasses in tall vegetation is low, and the algorithm encodes a judgment about the relative benefit of more search area off the pad vs. searcher efficiency.</t>
  </si>
  <si>
    <t>This tab determines appropriate search radius and transect width for searches based on vegetation height and the size of the carcasses of interest</t>
  </si>
  <si>
    <t>Bats</t>
  </si>
  <si>
    <t>Small birds</t>
  </si>
  <si>
    <t>Assume medium birds present</t>
  </si>
  <si>
    <t>Assume bats present</t>
  </si>
  <si>
    <t>Medium birds</t>
  </si>
  <si>
    <t>Large birds</t>
  </si>
  <si>
    <t>Full plot, Small birds</t>
  </si>
  <si>
    <t>Full plot, Medium birds</t>
  </si>
  <si>
    <t>Full plot, Large birds</t>
  </si>
  <si>
    <t>Small bird</t>
  </si>
  <si>
    <t>Medium bird</t>
  </si>
  <si>
    <t>Large bird</t>
  </si>
  <si>
    <t>Number of searcher efficiency trials (per carcass size)</t>
  </si>
  <si>
    <t>Number of turbines to sample</t>
  </si>
  <si>
    <t>Number of  carcass persistence trials (per carcass size)</t>
  </si>
  <si>
    <t>less than one day</t>
  </si>
  <si>
    <t>This tab estimates the cumulative fraction of carcasses expected within 1-m concentric circles around turbines</t>
  </si>
  <si>
    <t>Search radius</t>
  </si>
  <si>
    <t>Large</t>
  </si>
  <si>
    <t>Medium</t>
  </si>
  <si>
    <t xml:space="preserve">Small </t>
  </si>
  <si>
    <t>Bat time</t>
  </si>
  <si>
    <t>More than 30 days</t>
  </si>
  <si>
    <t>Mean removal time (days)</t>
  </si>
  <si>
    <t>Search interval (days)</t>
  </si>
  <si>
    <t>This sheet is a lookup table for mean carcass persistence probabilities given search interval (in columns) and mean removal times (in rows).</t>
  </si>
  <si>
    <t>The model assumes that carcass removal times are exponentially distributed and follows the GenEst carcass persistence modeling methodology</t>
  </si>
  <si>
    <t>Persistence time responses</t>
  </si>
  <si>
    <t>Persistence times</t>
  </si>
  <si>
    <t>Assumed persistence times</t>
  </si>
  <si>
    <t>Search Intervals</t>
  </si>
  <si>
    <t>Search interval recommendation</t>
  </si>
  <si>
    <t>Persistence probs</t>
  </si>
  <si>
    <t>difficult vis veg height</t>
  </si>
  <si>
    <t>Fraction in full plot</t>
  </si>
  <si>
    <t>Bat fraction on turbine pad</t>
  </si>
  <si>
    <t>Fraction</t>
  </si>
  <si>
    <t>Bat fraction on turbine plot</t>
  </si>
  <si>
    <t>Probability</t>
  </si>
  <si>
    <t>Bat carcass persistence</t>
  </si>
  <si>
    <t>Bat FP detection index</t>
  </si>
  <si>
    <t>Bat plot transect spacing</t>
  </si>
  <si>
    <t>Bat search radius</t>
  </si>
  <si>
    <t>Recommended plot transect width</t>
  </si>
  <si>
    <t>Visiblity lookup</t>
  </si>
  <si>
    <t>Circular full plots</t>
  </si>
  <si>
    <t>Plot type validation</t>
  </si>
  <si>
    <t>Vegetation max</t>
  </si>
  <si>
    <t>Vegetation min</t>
  </si>
  <si>
    <t>Walkability</t>
  </si>
  <si>
    <t>Transect width</t>
  </si>
  <si>
    <t>Meters</t>
  </si>
  <si>
    <t>Fraction in search area</t>
  </si>
  <si>
    <t>Mean persistence time</t>
  </si>
  <si>
    <t>Persistence Probability</t>
  </si>
  <si>
    <t>Transect spacing - FP</t>
  </si>
  <si>
    <t>Recommended</t>
  </si>
  <si>
    <t>Proposed</t>
  </si>
  <si>
    <t>Detection index</t>
  </si>
  <si>
    <t>overall</t>
  </si>
  <si>
    <t>Fraction to search</t>
  </si>
  <si>
    <t>This tab calculates the Detection Probability Input based on the Design Explorer section of the User interface tab.</t>
  </si>
  <si>
    <t>PCFM Design component</t>
  </si>
  <si>
    <t>Pink = Logic cells</t>
  </si>
  <si>
    <t>green = lookup values</t>
  </si>
  <si>
    <t>blue = Thresholds and algorithm constants</t>
  </si>
  <si>
    <t>Recommends a search interval based on the expected removal time of the most rapidly removed carcass type, and calculates the persistence probability</t>
  </si>
  <si>
    <t>Units</t>
  </si>
  <si>
    <t>turbines</t>
  </si>
  <si>
    <t>meters</t>
  </si>
  <si>
    <t>square meters</t>
  </si>
  <si>
    <t>days</t>
  </si>
  <si>
    <t>count</t>
  </si>
  <si>
    <t>Detection probability index for bats</t>
  </si>
  <si>
    <t>Detection probability index for small birds</t>
  </si>
  <si>
    <t>Detection probability index for medium birds</t>
  </si>
  <si>
    <t>Detection probability index for large birds</t>
  </si>
  <si>
    <t>Stratum1</t>
  </si>
  <si>
    <t>Stratum2</t>
  </si>
  <si>
    <t>1 to 3 days</t>
  </si>
  <si>
    <t>4 to 6 days</t>
  </si>
  <si>
    <t>7 to 9 days</t>
  </si>
  <si>
    <t>10 to 15 days</t>
  </si>
  <si>
    <t>16 to 20 days</t>
  </si>
  <si>
    <t>User answer</t>
  </si>
  <si>
    <t>Fraction on quarter-circular pad</t>
  </si>
  <si>
    <t>Radius of a circle, one quarter of which is the pad</t>
  </si>
  <si>
    <t>fraction on pad</t>
  </si>
  <si>
    <t>N turbines</t>
  </si>
  <si>
    <t>Count</t>
  </si>
  <si>
    <t>Max sampling fraction| turbine N</t>
  </si>
  <si>
    <t>Per plot detection index values (do not include sampling fraction)</t>
  </si>
  <si>
    <t>Per facility detection index values (includes sampling fraction)</t>
  </si>
  <si>
    <t>Recommended sampling fraction</t>
  </si>
  <si>
    <t>Bat detection index</t>
  </si>
  <si>
    <t>Full plot max sampling fraction</t>
  </si>
  <si>
    <t>Bat searcher efficiency</t>
  </si>
  <si>
    <t>Recommended plot radius</t>
  </si>
  <si>
    <t>This tab evaluates the detection probability index for the user-input design from the design explorer tab.  This tab was built to accommodate a 2-stratum design that is not currently implemented.  All reference to stratum 2 may eventually  be removed</t>
  </si>
  <si>
    <t>Search radius validation for design explorer</t>
  </si>
  <si>
    <t>1. How many turbines are at the facility (1 - 999)?</t>
  </si>
  <si>
    <t>2. What is the hub height of the turbines (m)?</t>
  </si>
  <si>
    <t>3. What is the blade length of the turbines (m)?</t>
  </si>
  <si>
    <t>Very Difficult: Little or no bare ground; more than 25% of ground cover over 30 cm in height</t>
  </si>
  <si>
    <t>Difficult: Bare ground 25% or less; 25% or less of ground cover over 30 cm in height</t>
  </si>
  <si>
    <t>Easy: Bare ground 90% or greater; all ground cover sparse and 15 cm or less in height (i.e. gravel pad or dirt road).</t>
  </si>
  <si>
    <t>Moderate: Bare ground 25% or greater; all ground cover 15 cm or less in height and mostly sparse.</t>
  </si>
  <si>
    <t>Detection index for the overall per facility index (1.0 for size classes not expected to be at risk)</t>
  </si>
  <si>
    <t>easy vis veg CLASS</t>
  </si>
  <si>
    <t>difficult vis veg CLASS</t>
  </si>
  <si>
    <t>Per plot detection index values (do not include sampling fraction; set to 1.0 for sizes not considered)</t>
  </si>
  <si>
    <t>Max target g</t>
  </si>
  <si>
    <t>FullPlotMaxSample</t>
  </si>
  <si>
    <t>Detection index for overall</t>
  </si>
  <si>
    <t>Whole facility</t>
  </si>
  <si>
    <t>7 to 9 days or unknown</t>
  </si>
  <si>
    <t>4 to 6 days or unknown</t>
  </si>
  <si>
    <t>1 to 3 days or unknown</t>
  </si>
  <si>
    <t>Questions for Beyond year 1</t>
  </si>
  <si>
    <t>Questions for Year 1</t>
  </si>
  <si>
    <t>Number of turbines to search with full plots</t>
  </si>
  <si>
    <t>Full plot search radius</t>
  </si>
  <si>
    <t>N</t>
  </si>
  <si>
    <t>n</t>
  </si>
  <si>
    <t>Number of turbines to search</t>
  </si>
  <si>
    <t>Recommended search interval based on species impacts</t>
  </si>
  <si>
    <t>Detection index goes to 1.0 if size class is not expected to be at risk unless none are expected to be at risk</t>
  </si>
  <si>
    <t>Alternative design 1</t>
  </si>
  <si>
    <t>Alternative design 2</t>
  </si>
  <si>
    <t>1. How large are the turbine pads (average square m)?</t>
  </si>
  <si>
    <t>7. Considering the easiest to search areas, how difficult will it be to search for carcasses?</t>
  </si>
  <si>
    <t>8. Considering the most difficult to search areas, how difficult will it be to search for carcasses?</t>
  </si>
  <si>
    <t>The estimate uses stretched empirical densities from the AWWIC 2020 summary reports (bats , small birds and medium birds), and from Hallingstad et al.(2018; raptors)</t>
  </si>
  <si>
    <t>0.75N</t>
  </si>
  <si>
    <t>0.5N</t>
  </si>
  <si>
    <t>Cumulative.Bat.density</t>
  </si>
  <si>
    <t>Fraction on cicular plots - assuming 150 m max tip height</t>
  </si>
  <si>
    <t>DistanceFromTurbine for 150 m tip height</t>
  </si>
  <si>
    <t>Distance from Turbine</t>
  </si>
  <si>
    <t>Search transect width</t>
  </si>
  <si>
    <t>Yes: no more than 75% of the surface has vegetation exceeding 30 cm in height</t>
  </si>
  <si>
    <t>Small birds fraction on turbine plot</t>
  </si>
  <si>
    <t>Small birds FP detection index</t>
  </si>
  <si>
    <t>Small birds fraction on turbine pad</t>
  </si>
  <si>
    <t>Small birds carcass persistence</t>
  </si>
  <si>
    <t>Small birds detection index</t>
  </si>
  <si>
    <t>Small birds plot transect spacing</t>
  </si>
  <si>
    <t>Small birds search radius</t>
  </si>
  <si>
    <t>Small birds searcher efficiency</t>
  </si>
  <si>
    <t>Small birds time</t>
  </si>
  <si>
    <t>Cumulative.Small birds.density</t>
  </si>
  <si>
    <t>Medium birds carcass persistence</t>
  </si>
  <si>
    <t>Medium birds detection index</t>
  </si>
  <si>
    <t>Medium birds fraction on turbine plot</t>
  </si>
  <si>
    <t>Medium birds FP detection index</t>
  </si>
  <si>
    <t>Medium birds fraction on turbine pad</t>
  </si>
  <si>
    <t>Medium birds plot transect spacing</t>
  </si>
  <si>
    <t>Medium birds search radius</t>
  </si>
  <si>
    <t>Medium birds searcher efficiency</t>
  </si>
  <si>
    <t>Medium birds time</t>
  </si>
  <si>
    <t>Cumulative.Medium bird.density</t>
  </si>
  <si>
    <t>Cumulative.Large birds.density</t>
  </si>
  <si>
    <t>Large birds (Hallingstad et al 2018 distribution)</t>
  </si>
  <si>
    <t>Large birds fraction on turbine plot</t>
  </si>
  <si>
    <t>Large birds FP detection index</t>
  </si>
  <si>
    <t>Large birds fraction on turbine pad</t>
  </si>
  <si>
    <t>Large birds carcass persistence</t>
  </si>
  <si>
    <t>Large birds detection index</t>
  </si>
  <si>
    <t>Large birds plot transect spacing</t>
  </si>
  <si>
    <t>Large birds search radius</t>
  </si>
  <si>
    <t>Large birds searcher efficiency</t>
  </si>
  <si>
    <t>Large birds time</t>
  </si>
  <si>
    <t>Medium birds FP Searcher efficiency</t>
  </si>
  <si>
    <t>Large birds FP Searcher efficiency</t>
  </si>
  <si>
    <t>Most of the values are simple lookups from other tabs.  The basal Searcher efficiency lookup table assumes that Searcher efficiency will be 0.8 for the recommended transect width, and that detection probability follows a half-normal type detection function (c.f. distance sampling).  From there it is possible to predict seef based on other transect spacings.</t>
  </si>
  <si>
    <t>Searcher efficiency adjustment: veg</t>
  </si>
  <si>
    <t>Bat Searcher efficiency</t>
  </si>
  <si>
    <t>Searcher efficiency adjustment based on terrain</t>
  </si>
  <si>
    <t>Small birds Searcher efficiency</t>
  </si>
  <si>
    <t>Medium birds Searcher efficiency</t>
  </si>
  <si>
    <t>Large birds Searcher efficiency</t>
  </si>
  <si>
    <t>Bat FP Searcher efficiency</t>
  </si>
  <si>
    <t xml:space="preserve">Small birds FP Searcher efficiency </t>
  </si>
  <si>
    <t>Per Vegetation step Searcher efficiency index</t>
  </si>
  <si>
    <t>Terrain Searcher efficiency reduction factor</t>
  </si>
  <si>
    <t>Baseline Searcher efficiency lookup table (based on half-normal detection function)</t>
  </si>
  <si>
    <t>6*</t>
  </si>
  <si>
    <r>
      <t xml:space="preserve">2. Do first year fatality data indicate that the annual turbine fatality rate for large birds </t>
    </r>
    <r>
      <rPr>
        <b/>
        <sz val="11"/>
        <color theme="1"/>
        <rFont val="Calibri"/>
        <family val="2"/>
        <scheme val="minor"/>
      </rPr>
      <t>(over 55 cm)</t>
    </r>
    <r>
      <rPr>
        <sz val="11"/>
        <color theme="1"/>
        <rFont val="Calibri"/>
        <family val="2"/>
        <scheme val="minor"/>
      </rPr>
      <t xml:space="preserve"> at the project is likely to be a concern* or do monitoring objectives for the project focus on large birds for some other reason?</t>
    </r>
  </si>
  <si>
    <r>
      <t xml:space="preserve">3.Do first year fatality data indicate that the annual turbine fatality rate for </t>
    </r>
    <r>
      <rPr>
        <b/>
        <sz val="11"/>
        <color theme="1"/>
        <rFont val="Calibri"/>
        <family val="2"/>
        <scheme val="minor"/>
      </rPr>
      <t>medium birds (30 - 55 cm)</t>
    </r>
    <r>
      <rPr>
        <sz val="11"/>
        <color theme="1"/>
        <rFont val="Calibri"/>
        <family val="2"/>
        <scheme val="minor"/>
      </rPr>
      <t xml:space="preserve"> at the project is likely to be a concern* or do monitoring objectives for the project focus on medium birds for some other reason?</t>
    </r>
  </si>
  <si>
    <r>
      <t xml:space="preserve">4. Do first year fatality data indicate that the annual turbine fatality rate for </t>
    </r>
    <r>
      <rPr>
        <b/>
        <sz val="11"/>
        <color theme="1"/>
        <rFont val="Calibri"/>
        <family val="2"/>
        <scheme val="minor"/>
      </rPr>
      <t>small birds (&lt; 30 cm) at the project is likely to be a concern* or do monitoring objectives for the project focus on small birds for some other reason?</t>
    </r>
  </si>
  <si>
    <t>Number of carcass persistence trials (per carcass size)</t>
  </si>
  <si>
    <t>Minimum detection probability index (0 - 1)</t>
  </si>
  <si>
    <t xml:space="preserve"> Consider an alternative design with narrower search transects, reduced search intervals or increased plot sizes.  If a RAP plot is the only possibility, it might not be possible to increase the DPI appreciably.</t>
  </si>
  <si>
    <t>Search interval</t>
  </si>
  <si>
    <t xml:space="preserve">Additionally, search RAP** at all turbines to a distance of </t>
  </si>
  <si>
    <t>RAP*</t>
  </si>
  <si>
    <t>Cleared full plot or RAP</t>
  </si>
  <si>
    <t>Cleared full plot or RAP code</t>
  </si>
  <si>
    <t>Searcher efficiency (for RAP or bare plot) assuming recommended transect width</t>
  </si>
  <si>
    <t>Bat RAP Searcher efficiency</t>
  </si>
  <si>
    <t>RAP only</t>
  </si>
  <si>
    <t>Transect spacing - RAP</t>
  </si>
  <si>
    <t xml:space="preserve">Small birds RAP Searcher efficiency </t>
  </si>
  <si>
    <t>Medium birds RAP Searcher efficiency</t>
  </si>
  <si>
    <t>Large birds RAP Searcher efficiency</t>
  </si>
  <si>
    <t>Permissible to search off RAP</t>
  </si>
  <si>
    <t>Safe to search off RAP</t>
  </si>
  <si>
    <t>RAP floor threshold</t>
  </si>
  <si>
    <t>Feasible to do more than RAPs?</t>
  </si>
  <si>
    <t>Bat RAP detection index</t>
  </si>
  <si>
    <t>Small birds RAP detection index</t>
  </si>
  <si>
    <t>Medium birds RAP detection index</t>
  </si>
  <si>
    <t>Large birds RAP detection index</t>
  </si>
  <si>
    <r>
      <t>11. Based on carcass persistence data from the project area or from a comparable wind project in the immediate vicinity***, what is the likely median removal time (days) of a</t>
    </r>
    <r>
      <rPr>
        <b/>
        <sz val="10"/>
        <color theme="1"/>
        <rFont val="Arial"/>
        <family val="2"/>
      </rPr>
      <t xml:space="preserve"> large bird</t>
    </r>
    <r>
      <rPr>
        <sz val="10"/>
        <color theme="1"/>
        <rFont val="Arial"/>
        <family val="2"/>
      </rPr>
      <t>?</t>
    </r>
  </si>
  <si>
    <r>
      <t xml:space="preserve">12. Based on carcass persistence data from the project area or from a comparable wind project in the immediate vicinity***, what is the likely median removal time (days) of a </t>
    </r>
    <r>
      <rPr>
        <b/>
        <sz val="10"/>
        <color theme="1"/>
        <rFont val="Arial"/>
        <family val="2"/>
      </rPr>
      <t>medium bird</t>
    </r>
    <r>
      <rPr>
        <sz val="10"/>
        <color theme="1"/>
        <rFont val="Arial"/>
        <family val="2"/>
      </rPr>
      <t>?</t>
    </r>
  </si>
  <si>
    <r>
      <t>13. Based on carcass persistence data from the project area or from a comparable wind project in the immediate vicinity***, what is the likely median removal time (days) of a</t>
    </r>
    <r>
      <rPr>
        <b/>
        <sz val="10"/>
        <color theme="1"/>
        <rFont val="Arial"/>
        <family val="2"/>
      </rPr>
      <t xml:space="preserve"> small bird</t>
    </r>
    <r>
      <rPr>
        <sz val="10"/>
        <color theme="1"/>
        <rFont val="Arial"/>
        <family val="2"/>
      </rPr>
      <t>?</t>
    </r>
  </si>
  <si>
    <r>
      <t xml:space="preserve">14. Based on on carcass persistence data from the project area or from a comparable wind project in the immediate vicinity***, what is the likely median removal time (days) of a </t>
    </r>
    <r>
      <rPr>
        <b/>
        <sz val="10"/>
        <color theme="1"/>
        <rFont val="Arial"/>
        <family val="2"/>
      </rPr>
      <t>bat?</t>
    </r>
  </si>
  <si>
    <t>5. Do first year fatality data indicate that the annual turbine fatality rate for bats** at the project is likely to be a concern* or do monitoring objectives for the project focus on bats for some other reason?</t>
  </si>
  <si>
    <r>
      <t xml:space="preserve">Difficult: </t>
    </r>
    <r>
      <rPr>
        <sz val="10"/>
        <color rgb="FF3B3838"/>
        <rFont val="Tahoma"/>
        <family val="2"/>
      </rPr>
      <t>Hilly to steep landscape with abundant rocks, hummocks, hollows, or vegetation that requires a surveyor’s attention.</t>
    </r>
  </si>
  <si>
    <t>Easy: Flat to gently rolling landscape with little vegetation and few to no rocks, hummocks, hollows, or other obstacles on the ground.</t>
  </si>
  <si>
    <r>
      <t xml:space="preserve">Impossible: </t>
    </r>
    <r>
      <rPr>
        <sz val="10"/>
        <color rgb="FF3B3838"/>
        <rFont val="Tahoma"/>
        <family val="2"/>
      </rPr>
      <t>Terrain is such that searchers cannot safely traverse the area while looking for carcasses.</t>
    </r>
  </si>
  <si>
    <r>
      <rPr>
        <sz val="10"/>
        <color rgb="FF3B3838"/>
        <rFont val="Tahoma"/>
        <family val="2"/>
      </rPr>
      <t>Moderate: Hilly landscape, or moderate abundance of rocks hummocks, hollows, or vegetation that require a surveyor’s attention.</t>
    </r>
  </si>
  <si>
    <t>No: at least 75% of the surface has vegetation exceeding 30 cm in height</t>
  </si>
  <si>
    <t>16 to 20 days or unknown</t>
  </si>
  <si>
    <t>Turbines</t>
  </si>
  <si>
    <t>Days</t>
  </si>
  <si>
    <t>Carcasses</t>
  </si>
  <si>
    <t>Carcasses / surrogates</t>
  </si>
  <si>
    <t>6. Is it legal to access areas not on the RAP****?</t>
  </si>
  <si>
    <t>9. How difficult is it to walk transects off the RAP****?</t>
  </si>
  <si>
    <t>10. Is it safe to search off the RAP****?</t>
  </si>
  <si>
    <t>QUESTION</t>
  </si>
  <si>
    <t>USER INPUT</t>
  </si>
  <si>
    <t xml:space="preserve">Appendix A. Decision Support Tool (DST) is a PCFM design resource provided as part of  IFC 2023. Post-construction Bird and Bat Fatality Monitoring for Onshore Wind Energy Facilities in Emerging Market Countries. Good Practice Handbook and Decision Support Tool. </t>
  </si>
  <si>
    <t>Enter numeric values in blue boxes</t>
  </si>
  <si>
    <t>QUESTIONS</t>
  </si>
  <si>
    <r>
      <t xml:space="preserve">Units or </t>
    </r>
    <r>
      <rPr>
        <sz val="16"/>
        <rFont val="Calibri"/>
        <family val="2"/>
        <scheme val="minor"/>
      </rPr>
      <t>size</t>
    </r>
  </si>
  <si>
    <t>PCFM design component</t>
  </si>
  <si>
    <t>Detection Probablity Index  type</t>
  </si>
  <si>
    <t>DPI value</t>
  </si>
  <si>
    <t>Warning messages</t>
  </si>
  <si>
    <t>Recommended Subsequent Years PCFM design</t>
  </si>
  <si>
    <t>Recommended First Year PCFM design</t>
  </si>
  <si>
    <r>
      <t xml:space="preserve">DST User Interface-Project setup </t>
    </r>
    <r>
      <rPr>
        <sz val="10"/>
        <color theme="0"/>
        <rFont val="Calibri"/>
        <family val="2"/>
        <scheme val="minor"/>
      </rPr>
      <t xml:space="preserve">(refer to Section 4.1 Using the DST for more information) </t>
    </r>
  </si>
  <si>
    <t>Users should answer the questions in the cells below. 
 Users are expected to revisit the study design each season so the inputs here refer to one season only</t>
  </si>
  <si>
    <t>Choose responses from drop-down menus in grey  boxes</t>
  </si>
  <si>
    <r>
      <rPr>
        <sz val="16"/>
        <color theme="0"/>
        <rFont val="Calibri"/>
        <family val="2"/>
        <scheme val="minor"/>
      </rPr>
      <t>Detection Probability Index DPI for the Recommended Subsequent Years PCFM design above</t>
    </r>
    <r>
      <rPr>
        <sz val="12"/>
        <color theme="0"/>
        <rFont val="Calibri"/>
        <family val="2"/>
        <scheme val="minor"/>
      </rPr>
      <t xml:space="preserve">
</t>
    </r>
    <r>
      <rPr>
        <sz val="11"/>
        <color theme="0"/>
        <rFont val="Calibri"/>
        <family val="2"/>
        <scheme val="minor"/>
      </rPr>
      <t>Note:  the detection probability index is intended as a design metric suitable for comparison across designs.  It should not be taken as a prediction of the expected detection probability</t>
    </r>
  </si>
  <si>
    <r>
      <rPr>
        <sz val="18"/>
        <color theme="0"/>
        <rFont val="Calibri"/>
        <family val="2"/>
        <scheme val="minor"/>
      </rPr>
      <t>Alternative design 1</t>
    </r>
    <r>
      <rPr>
        <sz val="14"/>
        <color theme="0"/>
        <rFont val="Calibri"/>
        <family val="2"/>
        <scheme val="minor"/>
      </rPr>
      <t xml:space="preserve">
Detection Proabability Index (DPI)</t>
    </r>
  </si>
  <si>
    <r>
      <rPr>
        <sz val="18"/>
        <color theme="0"/>
        <rFont val="Calibri"/>
        <family val="2"/>
        <scheme val="minor"/>
      </rPr>
      <t>Alternative design 2</t>
    </r>
    <r>
      <rPr>
        <sz val="14"/>
        <color theme="0"/>
        <rFont val="Calibri"/>
        <family val="2"/>
        <scheme val="minor"/>
      </rPr>
      <t xml:space="preserve">
Detection Proabability Index (DPI)</t>
    </r>
  </si>
  <si>
    <t>DPI warning  messages -&gt;</t>
  </si>
  <si>
    <r>
      <rPr>
        <sz val="16"/>
        <color theme="0"/>
        <rFont val="Calibri"/>
        <family val="2"/>
        <scheme val="minor"/>
      </rPr>
      <t>Detection Probability Index (DPI) for the Recommended Subsequent Years PCFM design</t>
    </r>
    <r>
      <rPr>
        <sz val="12"/>
        <color theme="0"/>
        <rFont val="Calibri"/>
        <family val="2"/>
        <scheme val="minor"/>
      </rPr>
      <t xml:space="preserve"> 
</t>
    </r>
  </si>
  <si>
    <t>Note:  the Detection Probability Index is intended as a design metric suitable for comparison across designs.  It should not be taken as a prediction of the expected detection probability</t>
  </si>
  <si>
    <t>Enter numeric values in blue cells below</t>
  </si>
  <si>
    <t>* If visibility is high at the WEF site and its surroundings, and if there is existing knowledge of the bat species at risk, transect spacing of 10m is considered a reasonable alternative to 6m transect spacing
** RAP = Road and Pad Plot. For more information, discussed in Section 3.3.3.2</t>
  </si>
  <si>
    <t>The recommended Subsequent Years PCM design and associated Detection Probability Index is given in the blue boxes below. These are identical to the output in the User interface - Subsequent Years tab, columns E-G. Enter values into  Alternative design 1 and Alternative design 2 boxes, and use the output values in Alternative design 1 and 2  Detection Probability Index to evaluate alternative designs. If DPI is relatively low a warning message will appear with  guidance on how to improve the design</t>
  </si>
  <si>
    <r>
      <rPr>
        <sz val="18"/>
        <color theme="0"/>
        <rFont val="Calibri"/>
        <family val="2"/>
        <scheme val="minor"/>
      </rPr>
      <t>DST User Interface-Design Explorer</t>
    </r>
    <r>
      <rPr>
        <sz val="16"/>
        <color theme="0"/>
        <rFont val="Calibri"/>
        <family val="2"/>
        <scheme val="minor"/>
      </rPr>
      <t xml:space="preserve">  </t>
    </r>
    <r>
      <rPr>
        <sz val="12"/>
        <color theme="0"/>
        <rFont val="Calibri"/>
        <family val="2"/>
        <scheme val="minor"/>
      </rPr>
      <t xml:space="preserve">(refer to Section 4.1 </t>
    </r>
    <r>
      <rPr>
        <i/>
        <sz val="12"/>
        <color theme="0"/>
        <rFont val="Calibri"/>
        <family val="2"/>
        <scheme val="minor"/>
      </rPr>
      <t>Using the DST</t>
    </r>
    <r>
      <rPr>
        <sz val="12"/>
        <color theme="0"/>
        <rFont val="Calibri"/>
        <family val="2"/>
        <scheme val="minor"/>
      </rPr>
      <t xml:space="preserve"> and  Section 4.1.3.3 </t>
    </r>
    <r>
      <rPr>
        <i/>
        <sz val="12"/>
        <color theme="0"/>
        <rFont val="Calibri"/>
        <family val="2"/>
        <scheme val="minor"/>
      </rPr>
      <t>The Design Explorer</t>
    </r>
    <r>
      <rPr>
        <sz val="12"/>
        <color theme="0"/>
        <rFont val="Calibri"/>
        <family val="2"/>
        <scheme val="minor"/>
      </rPr>
      <t xml:space="preserve"> for more information) </t>
    </r>
  </si>
  <si>
    <r>
      <rPr>
        <sz val="18"/>
        <color theme="0"/>
        <rFont val="Calibri"/>
        <family val="2"/>
        <scheme val="minor"/>
      </rPr>
      <t>DST User Interface-Project setup</t>
    </r>
    <r>
      <rPr>
        <sz val="16"/>
        <color theme="0"/>
        <rFont val="Calibri"/>
        <family val="2"/>
        <scheme val="minor"/>
      </rPr>
      <t xml:space="preserve"> </t>
    </r>
    <r>
      <rPr>
        <sz val="12"/>
        <color theme="0"/>
        <rFont val="Calibri"/>
        <family val="2"/>
        <scheme val="minor"/>
      </rPr>
      <t xml:space="preserve">(refer to Section 4.1 Using the DST  and  Section 4.1.3. </t>
    </r>
    <r>
      <rPr>
        <i/>
        <sz val="12"/>
        <color theme="0"/>
        <rFont val="Calibri"/>
        <family val="2"/>
        <scheme val="minor"/>
      </rPr>
      <t>Subsequent Years Design</t>
    </r>
    <r>
      <rPr>
        <sz val="12"/>
        <color theme="0"/>
        <rFont val="Calibri"/>
        <family val="2"/>
        <scheme val="minor"/>
      </rPr>
      <t xml:space="preserve"> for more information)</t>
    </r>
    <r>
      <rPr>
        <sz val="11"/>
        <color theme="0"/>
        <rFont val="Calibri"/>
        <family val="2"/>
        <scheme val="minor"/>
      </rPr>
      <t xml:space="preserve"> </t>
    </r>
  </si>
  <si>
    <r>
      <rPr>
        <sz val="18"/>
        <color theme="0"/>
        <rFont val="Calibri"/>
        <family val="2"/>
        <scheme val="minor"/>
      </rPr>
      <t>DST User Interface-First Year</t>
    </r>
    <r>
      <rPr>
        <sz val="16"/>
        <color theme="1"/>
        <rFont val="Calibri"/>
        <family val="2"/>
        <scheme val="minor"/>
      </rPr>
      <t xml:space="preserve"> </t>
    </r>
    <r>
      <rPr>
        <sz val="16"/>
        <color theme="0"/>
        <rFont val="Calibri"/>
        <family val="2"/>
        <scheme val="minor"/>
      </rPr>
      <t xml:space="preserve"> </t>
    </r>
    <r>
      <rPr>
        <sz val="12"/>
        <color theme="0"/>
        <rFont val="Calibri"/>
        <family val="2"/>
        <scheme val="minor"/>
      </rPr>
      <t xml:space="preserve">(refer to Section 4.1 </t>
    </r>
    <r>
      <rPr>
        <i/>
        <sz val="12"/>
        <color theme="0"/>
        <rFont val="Calibri"/>
        <family val="2"/>
        <scheme val="minor"/>
      </rPr>
      <t>Using the DST</t>
    </r>
    <r>
      <rPr>
        <sz val="12"/>
        <color theme="0"/>
        <rFont val="Calibri"/>
        <family val="2"/>
        <scheme val="minor"/>
      </rPr>
      <t xml:space="preserve"> and Section 4.1.2 </t>
    </r>
    <r>
      <rPr>
        <i/>
        <sz val="12"/>
        <color theme="0"/>
        <rFont val="Calibri"/>
        <family val="2"/>
        <scheme val="minor"/>
      </rPr>
      <t>First Year Design</t>
    </r>
    <r>
      <rPr>
        <sz val="12"/>
        <color theme="0"/>
        <rFont val="Calibri"/>
        <family val="2"/>
        <scheme val="minor"/>
      </rPr>
      <t xml:space="preserve"> for more information) </t>
    </r>
  </si>
  <si>
    <t>* For example, as informed by project-specific thresholds and/or relevant thresholds defined by national and/or regional stakeholders
** Note  that fatality concerns for larger fruit bats (also known as flying foxes) should be addressed in Question 3 ‘medium birds’ rather than Question 5
***The immediate vicinity is defined as an area (within the same habitat type) that has characteristics that strongly indicate a similar fatality risk profile to the project site.
**** RAP = Road and Pad Plots, are  discussed in Section 3.3.3.2</t>
  </si>
  <si>
    <t>* RAP = Road and Pad Plots are discussed in Section 3.3.3.2</t>
  </si>
  <si>
    <t>4. Is it legal to access areas not on the RAP?</t>
  </si>
  <si>
    <r>
      <t>5.</t>
    </r>
    <r>
      <rPr>
        <i/>
        <sz val="11"/>
        <color theme="1"/>
        <rFont val="Calibri"/>
        <family val="2"/>
        <scheme val="minor"/>
      </rPr>
      <t xml:space="preserve"> </t>
    </r>
    <r>
      <rPr>
        <sz val="11"/>
        <color theme="1"/>
        <rFont val="Calibri"/>
        <family val="2"/>
        <scheme val="minor"/>
      </rPr>
      <t>Is it safe to access areas not on the RAP?</t>
    </r>
  </si>
  <si>
    <t>6. Is the vegetation beyond the RAP conducive to searching?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</si>
</sst>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0"/>
  </numFmts>
  <fonts count="2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8"/>
      <color theme="1"/>
      <name val="Calibri"/>
      <family val="2"/>
      <scheme val="minor"/>
    </font>
    <font>
      <sz val="11"/>
      <color theme="1"/>
      <name val="Calibri"/>
      <family val="2"/>
      <scheme val="minor"/>
    </font>
    <font>
      <sz val="11"/>
      <color theme="7"/>
      <name val="Calibri"/>
      <family val="2"/>
      <scheme val="minor"/>
    </font>
    <font>
      <sz val="9"/>
      <color indexed="81"/>
      <name val="Tahoma"/>
      <family val="2"/>
    </font>
    <font>
      <b/>
      <sz val="14"/>
      <color rgb="FF595959"/>
      <name val="Calibri"/>
      <family val="2"/>
      <scheme val="minor"/>
    </font>
    <font>
      <sz val="10"/>
      <color theme="1"/>
      <name val="Arial"/>
      <family val="2"/>
    </font>
    <font>
      <sz val="11"/>
      <color rgb="FFFF0000"/>
      <name val="Calibri"/>
      <family val="2"/>
      <scheme val="minor"/>
    </font>
    <font>
      <i/>
      <sz val="11"/>
      <color theme="1"/>
      <name val="Calibri"/>
      <family val="2"/>
      <scheme val="minor"/>
    </font>
    <font>
      <sz val="11"/>
      <color theme="0"/>
      <name val="Calibri"/>
      <family val="2"/>
      <scheme val="minor"/>
    </font>
    <font>
      <b/>
      <sz val="10"/>
      <color theme="1"/>
      <name val="Arial"/>
      <family val="2"/>
    </font>
    <font>
      <sz val="11"/>
      <name val="Calibri"/>
      <family val="2"/>
      <scheme val="minor"/>
    </font>
    <font>
      <sz val="9"/>
      <color rgb="FF333333"/>
      <name val="Segoe UI"/>
      <family val="2"/>
    </font>
    <font>
      <sz val="9"/>
      <color indexed="81"/>
      <name val="Tahoma"/>
      <charset val="1"/>
    </font>
    <font>
      <sz val="10"/>
      <color rgb="FF3B3838"/>
      <name val="Tahoma"/>
      <family val="2"/>
    </font>
    <font>
      <sz val="16"/>
      <color theme="1"/>
      <name val="Calibri"/>
      <family val="2"/>
      <scheme val="minor"/>
    </font>
    <font>
      <sz val="14"/>
      <color theme="1"/>
      <name val="Calibri"/>
      <family val="2"/>
      <scheme val="minor"/>
    </font>
    <font>
      <sz val="14"/>
      <color theme="0"/>
      <name val="Calibri"/>
      <family val="2"/>
      <scheme val="minor"/>
    </font>
    <font>
      <sz val="14"/>
      <name val="Calibri"/>
      <family val="2"/>
      <scheme val="minor"/>
    </font>
    <font>
      <sz val="16"/>
      <name val="Calibri"/>
      <family val="2"/>
      <scheme val="minor"/>
    </font>
    <font>
      <sz val="10"/>
      <color theme="0" tint="-0.499984740745262"/>
      <name val="Calibri"/>
      <family val="2"/>
      <scheme val="minor"/>
    </font>
    <font>
      <sz val="18"/>
      <color theme="0"/>
      <name val="Calibri"/>
      <family val="2"/>
      <scheme val="minor"/>
    </font>
    <font>
      <sz val="12"/>
      <color theme="0"/>
      <name val="Calibri"/>
      <family val="2"/>
      <scheme val="minor"/>
    </font>
    <font>
      <sz val="16"/>
      <color theme="0"/>
      <name val="Calibri"/>
      <family val="2"/>
      <scheme val="minor"/>
    </font>
    <font>
      <sz val="10"/>
      <color theme="0"/>
      <name val="Calibri"/>
      <family val="2"/>
      <scheme val="minor"/>
    </font>
    <font>
      <i/>
      <sz val="12"/>
      <color theme="0"/>
      <name val="Calibri"/>
      <family val="2"/>
      <scheme val="minor"/>
    </font>
  </fonts>
  <fills count="1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0C0"/>
        <bgColor indexed="64"/>
      </patternFill>
    </fill>
    <fill>
      <patternFill patternType="solid">
        <fgColor rgb="FF94B42E"/>
        <bgColor indexed="64"/>
      </patternFill>
    </fill>
    <fill>
      <patternFill patternType="solid">
        <fgColor theme="6" tint="-0.499984740745262"/>
        <bgColor indexed="64"/>
      </patternFill>
    </fill>
    <fill>
      <patternFill patternType="solid">
        <fgColor rgb="FFE1F7FF"/>
        <bgColor indexed="64"/>
      </patternFill>
    </fill>
  </fills>
  <borders count="10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diagonal/>
    </border>
    <border>
      <left style="thick">
        <color rgb="FF0070C0"/>
      </left>
      <right/>
      <top style="thick">
        <color rgb="FF0070C0"/>
      </top>
      <bottom style="thin">
        <color theme="0" tint="-0.24994659260841701"/>
      </bottom>
      <diagonal/>
    </border>
    <border>
      <left/>
      <right/>
      <top style="thick">
        <color rgb="FF0070C0"/>
      </top>
      <bottom style="thin">
        <color theme="0" tint="-0.24994659260841701"/>
      </bottom>
      <diagonal/>
    </border>
    <border>
      <left/>
      <right style="thick">
        <color rgb="FF0070C0"/>
      </right>
      <top style="thick">
        <color rgb="FF0070C0"/>
      </top>
      <bottom style="thin">
        <color theme="0" tint="-0.24994659260841701"/>
      </bottom>
      <diagonal/>
    </border>
    <border>
      <left style="thick">
        <color rgb="FF0070C0"/>
      </left>
      <right style="thin">
        <color theme="0" tint="-0.24994659260841701"/>
      </right>
      <top/>
      <bottom style="thin">
        <color theme="0" tint="-0.24994659260841701"/>
      </bottom>
      <diagonal/>
    </border>
    <border>
      <left style="thick">
        <color rgb="FF0070C0"/>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rgb="FF0070C0"/>
      </right>
      <top style="thin">
        <color theme="0" tint="-0.24994659260841701"/>
      </top>
      <bottom style="thin">
        <color theme="0" tint="-0.24994659260841701"/>
      </bottom>
      <diagonal/>
    </border>
    <border>
      <left style="thick">
        <color rgb="FF0070C0"/>
      </left>
      <right style="thin">
        <color theme="0" tint="-0.24994659260841701"/>
      </right>
      <top style="thin">
        <color theme="0" tint="-0.24994659260841701"/>
      </top>
      <bottom style="thick">
        <color rgb="FF0070C0"/>
      </bottom>
      <diagonal/>
    </border>
    <border>
      <left style="thin">
        <color theme="0" tint="-0.24994659260841701"/>
      </left>
      <right style="thin">
        <color theme="0" tint="-0.24994659260841701"/>
      </right>
      <top style="thin">
        <color theme="0" tint="-0.24994659260841701"/>
      </top>
      <bottom style="thick">
        <color rgb="FF0070C0"/>
      </bottom>
      <diagonal/>
    </border>
    <border>
      <left style="thin">
        <color theme="0" tint="-0.24994659260841701"/>
      </left>
      <right style="thick">
        <color rgb="FF0070C0"/>
      </right>
      <top style="thin">
        <color theme="0" tint="-0.24994659260841701"/>
      </top>
      <bottom style="thick">
        <color rgb="FF0070C0"/>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style="thin">
        <color theme="0" tint="-0.24994659260841701"/>
      </bottom>
      <diagonal/>
    </border>
    <border>
      <left/>
      <right style="thick">
        <color rgb="FF0070C0"/>
      </right>
      <top/>
      <bottom style="thin">
        <color theme="0" tint="-0.24994659260841701"/>
      </bottom>
      <diagonal/>
    </border>
    <border>
      <left style="thick">
        <color rgb="FF9FC131"/>
      </left>
      <right/>
      <top style="thick">
        <color rgb="FF9FC131"/>
      </top>
      <bottom/>
      <diagonal/>
    </border>
    <border>
      <left/>
      <right/>
      <top style="thick">
        <color rgb="FF9FC131"/>
      </top>
      <bottom/>
      <diagonal/>
    </border>
    <border>
      <left/>
      <right style="thick">
        <color rgb="FF9FC131"/>
      </right>
      <top style="thick">
        <color rgb="FF9FC131"/>
      </top>
      <bottom/>
      <diagonal/>
    </border>
    <border>
      <left style="thick">
        <color rgb="FF9FC131"/>
      </left>
      <right style="thin">
        <color theme="0" tint="-0.24994659260841701"/>
      </right>
      <top/>
      <bottom style="thin">
        <color theme="0" tint="-0.24994659260841701"/>
      </bottom>
      <diagonal/>
    </border>
    <border>
      <left style="thick">
        <color rgb="FF9FC13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rgb="FF9FC131"/>
      </right>
      <top style="thin">
        <color theme="0" tint="-0.24994659260841701"/>
      </top>
      <bottom style="thin">
        <color theme="0" tint="-0.24994659260841701"/>
      </bottom>
      <diagonal/>
    </border>
    <border>
      <left style="thick">
        <color rgb="FF9FC131"/>
      </left>
      <right style="thin">
        <color theme="0" tint="-0.24994659260841701"/>
      </right>
      <top style="thin">
        <color theme="0" tint="-0.24994659260841701"/>
      </top>
      <bottom style="thick">
        <color rgb="FF9FC131"/>
      </bottom>
      <diagonal/>
    </border>
    <border>
      <left style="thin">
        <color theme="0" tint="-0.24994659260841701"/>
      </left>
      <right style="thin">
        <color theme="0" tint="-0.24994659260841701"/>
      </right>
      <top style="thin">
        <color theme="0" tint="-0.24994659260841701"/>
      </top>
      <bottom style="thick">
        <color rgb="FF9FC131"/>
      </bottom>
      <diagonal/>
    </border>
    <border>
      <left style="thin">
        <color theme="0" tint="-0.24994659260841701"/>
      </left>
      <right style="thick">
        <color rgb="FF9FC131"/>
      </right>
      <top style="thin">
        <color theme="0" tint="-0.24994659260841701"/>
      </top>
      <bottom style="thick">
        <color rgb="FF9FC131"/>
      </bottom>
      <diagonal/>
    </border>
    <border>
      <left/>
      <right style="thick">
        <color rgb="FF9FC131"/>
      </right>
      <top/>
      <bottom style="thin">
        <color theme="0" tint="-0.24994659260841701"/>
      </bottom>
      <diagonal/>
    </border>
    <border>
      <left/>
      <right style="thick">
        <color rgb="FF0070C0"/>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ck">
        <color rgb="FF0070C0"/>
      </left>
      <right style="thin">
        <color theme="0" tint="-0.34998626667073579"/>
      </right>
      <top style="thick">
        <color rgb="FF0070C0"/>
      </top>
      <bottom style="thin">
        <color theme="0" tint="-0.34998626667073579"/>
      </bottom>
      <diagonal/>
    </border>
    <border>
      <left style="thick">
        <color rgb="FF0070C0"/>
      </left>
      <right style="thin">
        <color theme="0" tint="-0.34998626667073579"/>
      </right>
      <top style="thin">
        <color theme="0" tint="-0.34998626667073579"/>
      </top>
      <bottom style="thin">
        <color theme="0" tint="-0.34998626667073579"/>
      </bottom>
      <diagonal/>
    </border>
    <border>
      <left style="thick">
        <color rgb="FF0070C0"/>
      </left>
      <right style="thin">
        <color theme="0" tint="-0.34998626667073579"/>
      </right>
      <top style="thin">
        <color theme="0" tint="-0.34998626667073579"/>
      </top>
      <bottom style="thick">
        <color rgb="FF0070C0"/>
      </bottom>
      <diagonal/>
    </border>
    <border>
      <left style="thin">
        <color theme="0" tint="-0.34998626667073579"/>
      </left>
      <right/>
      <top style="thick">
        <color rgb="FF0070C0"/>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ck">
        <color rgb="FF0070C0"/>
      </bottom>
      <diagonal/>
    </border>
    <border>
      <left style="thick">
        <color rgb="FFC00000"/>
      </left>
      <right style="thin">
        <color theme="0" tint="-0.34998626667073579"/>
      </right>
      <top style="thick">
        <color rgb="FFC00000"/>
      </top>
      <bottom style="thin">
        <color theme="0" tint="-0.34998626667073579"/>
      </bottom>
      <diagonal/>
    </border>
    <border>
      <left style="thin">
        <color theme="0" tint="-0.34998626667073579"/>
      </left>
      <right style="thin">
        <color theme="0" tint="-0.34998626667073579"/>
      </right>
      <top style="thick">
        <color rgb="FFC00000"/>
      </top>
      <bottom style="thin">
        <color theme="0" tint="-0.34998626667073579"/>
      </bottom>
      <diagonal/>
    </border>
    <border>
      <left style="thin">
        <color theme="0" tint="-0.34998626667073579"/>
      </left>
      <right style="thick">
        <color rgb="FFC00000"/>
      </right>
      <top style="thick">
        <color rgb="FFC00000"/>
      </top>
      <bottom style="thin">
        <color theme="0" tint="-0.34998626667073579"/>
      </bottom>
      <diagonal/>
    </border>
    <border>
      <left style="thick">
        <color rgb="FFC00000"/>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C00000"/>
      </right>
      <top style="thin">
        <color theme="0" tint="-0.34998626667073579"/>
      </top>
      <bottom style="thin">
        <color theme="0" tint="-0.34998626667073579"/>
      </bottom>
      <diagonal/>
    </border>
    <border>
      <left style="thick">
        <color rgb="FFC00000"/>
      </left>
      <right style="thin">
        <color theme="0" tint="-0.34998626667073579"/>
      </right>
      <top style="thin">
        <color theme="0" tint="-0.34998626667073579"/>
      </top>
      <bottom style="thick">
        <color rgb="FFC00000"/>
      </bottom>
      <diagonal/>
    </border>
    <border>
      <left style="thin">
        <color theme="0" tint="-0.34998626667073579"/>
      </left>
      <right style="thin">
        <color theme="0" tint="-0.34998626667073579"/>
      </right>
      <top style="thin">
        <color theme="0" tint="-0.34998626667073579"/>
      </top>
      <bottom style="thick">
        <color rgb="FFC00000"/>
      </bottom>
      <diagonal/>
    </border>
    <border>
      <left style="thin">
        <color theme="0" tint="-0.34998626667073579"/>
      </left>
      <right style="thick">
        <color rgb="FFC00000"/>
      </right>
      <top style="thin">
        <color theme="0" tint="-0.34998626667073579"/>
      </top>
      <bottom style="thick">
        <color rgb="FFC00000"/>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ck">
        <color rgb="FF0070C0"/>
      </left>
      <right/>
      <top/>
      <bottom/>
      <diagonal/>
    </border>
    <border>
      <left style="thick">
        <color rgb="FF0070C0"/>
      </left>
      <right/>
      <top/>
      <bottom style="thick">
        <color rgb="FF0070C0"/>
      </bottom>
      <diagonal/>
    </border>
    <border>
      <left style="thick">
        <color rgb="FF0070C0"/>
      </left>
      <right style="thick">
        <color rgb="FF0070C0"/>
      </right>
      <top/>
      <bottom style="thin">
        <color theme="0" tint="-0.34998626667073579"/>
      </bottom>
      <diagonal/>
    </border>
    <border>
      <left style="thick">
        <color rgb="FF0070C0"/>
      </left>
      <right/>
      <top style="thin">
        <color theme="0" tint="-0.34998626667073579"/>
      </top>
      <bottom style="thin">
        <color theme="0" tint="-0.34998626667073579"/>
      </bottom>
      <diagonal/>
    </border>
    <border>
      <left style="thick">
        <color rgb="FFC00000"/>
      </left>
      <right style="thin">
        <color theme="0" tint="-0.34998626667073579"/>
      </right>
      <top style="thin">
        <color theme="0" tint="-0.34998626667073579"/>
      </top>
      <bottom/>
      <diagonal/>
    </border>
    <border>
      <left style="thin">
        <color theme="0" tint="-0.34998626667073579"/>
      </left>
      <right style="thick">
        <color rgb="FFC00000"/>
      </right>
      <top style="thin">
        <color theme="0" tint="-0.34998626667073579"/>
      </top>
      <bottom/>
      <diagonal/>
    </border>
    <border>
      <left style="thick">
        <color rgb="FFC00000"/>
      </left>
      <right style="thin">
        <color theme="0" tint="-0.34998626667073579"/>
      </right>
      <top/>
      <bottom/>
      <diagonal/>
    </border>
    <border>
      <left style="thin">
        <color theme="0" tint="-0.34998626667073579"/>
      </left>
      <right style="thick">
        <color rgb="FFC00000"/>
      </right>
      <top/>
      <bottom/>
      <diagonal/>
    </border>
    <border>
      <left style="thick">
        <color rgb="FFC00000"/>
      </left>
      <right style="thin">
        <color theme="0" tint="-0.34998626667073579"/>
      </right>
      <top/>
      <bottom style="thick">
        <color rgb="FFC00000"/>
      </bottom>
      <diagonal/>
    </border>
    <border>
      <left style="thin">
        <color theme="0" tint="-0.34998626667073579"/>
      </left>
      <right style="thick">
        <color rgb="FFC00000"/>
      </right>
      <top/>
      <bottom style="thick">
        <color rgb="FFC00000"/>
      </bottom>
      <diagonal/>
    </border>
    <border>
      <left style="thin">
        <color theme="0" tint="-0.34998626667073579"/>
      </left>
      <right style="thick">
        <color rgb="FF0070C0"/>
      </right>
      <top style="thick">
        <color rgb="FF0070C0"/>
      </top>
      <bottom/>
      <diagonal/>
    </border>
    <border>
      <left style="thin">
        <color theme="0" tint="-0.34998626667073579"/>
      </left>
      <right style="thick">
        <color rgb="FF0070C0"/>
      </right>
      <top/>
      <bottom/>
      <diagonal/>
    </border>
    <border>
      <left style="thin">
        <color theme="0" tint="-0.34998626667073579"/>
      </left>
      <right style="thick">
        <color rgb="FF0070C0"/>
      </right>
      <top/>
      <bottom style="thin">
        <color theme="0" tint="-0.34998626667073579"/>
      </bottom>
      <diagonal/>
    </border>
    <border>
      <left/>
      <right/>
      <top style="thin">
        <color theme="0" tint="-0.34998626667073579"/>
      </top>
      <bottom style="thin">
        <color theme="0" tint="-0.34998626667073579"/>
      </bottom>
      <diagonal/>
    </border>
    <border>
      <left style="thin">
        <color theme="0" tint="-0.24994659260841701"/>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24994659260841701"/>
      </right>
      <top/>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style="medium">
        <color indexed="64"/>
      </right>
      <top style="thin">
        <color theme="0" tint="-0.24994659260841701"/>
      </top>
      <bottom style="medium">
        <color indexed="64"/>
      </bottom>
      <diagonal/>
    </border>
    <border>
      <left style="thin">
        <color theme="0" tint="-0.34998626667073579"/>
      </left>
      <right style="medium">
        <color indexed="64"/>
      </right>
      <top style="medium">
        <color auto="1"/>
      </top>
      <bottom style="thin">
        <color theme="0" tint="-0.24994659260841701"/>
      </bottom>
      <diagonal/>
    </border>
    <border>
      <left style="thin">
        <color theme="0" tint="-0.34998626667073579"/>
      </left>
      <right style="medium">
        <color indexed="64"/>
      </right>
      <top style="thin">
        <color theme="0" tint="-0.24994659260841701"/>
      </top>
      <bottom style="thin">
        <color theme="0" tint="-0.24994659260841701"/>
      </bottom>
      <diagonal/>
    </border>
    <border>
      <left style="thin">
        <color theme="0" tint="-0.34998626667073579"/>
      </left>
      <right style="medium">
        <color indexed="64"/>
      </right>
      <top style="thin">
        <color theme="0" tint="-0.24994659260841701"/>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medium">
        <color auto="1"/>
      </top>
      <bottom style="medium">
        <color auto="1"/>
      </bottom>
      <diagonal/>
    </border>
    <border>
      <left/>
      <right style="thin">
        <color theme="0" tint="-0.24994659260841701"/>
      </right>
      <top style="thin">
        <color theme="0" tint="-0.24994659260841701"/>
      </top>
      <bottom style="medium">
        <color auto="1"/>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right style="thin">
        <color theme="0" tint="-0.34998626667073579"/>
      </right>
      <top style="medium">
        <color auto="1"/>
      </top>
      <bottom style="thin">
        <color theme="0" tint="-0.24994659260841701"/>
      </bottom>
      <diagonal/>
    </border>
    <border>
      <left/>
      <right style="thin">
        <color theme="0" tint="-0.34998626667073579"/>
      </right>
      <top style="thin">
        <color theme="0" tint="-0.24994659260841701"/>
      </top>
      <bottom style="thin">
        <color theme="0" tint="-0.24994659260841701"/>
      </bottom>
      <diagonal/>
    </border>
    <border>
      <left/>
      <right style="thin">
        <color theme="0" tint="-0.34998626667073579"/>
      </right>
      <top style="thin">
        <color theme="0" tint="-0.24994659260841701"/>
      </top>
      <bottom style="medium">
        <color indexed="64"/>
      </bottom>
      <diagonal/>
    </border>
    <border>
      <left style="medium">
        <color auto="1"/>
      </left>
      <right style="thin">
        <color auto="1"/>
      </right>
      <top style="medium">
        <color auto="1"/>
      </top>
      <bottom style="thin">
        <color theme="0" tint="-0.24994659260841701"/>
      </bottom>
      <diagonal/>
    </border>
    <border>
      <left style="thick">
        <color rgb="FF0070C0"/>
      </left>
      <right style="thick">
        <color rgb="FFC00000"/>
      </right>
      <top style="thin">
        <color theme="0" tint="-0.34998626667073579"/>
      </top>
      <bottom/>
      <diagonal/>
    </border>
    <border>
      <left style="thick">
        <color rgb="FF0070C0"/>
      </left>
      <right style="thick">
        <color rgb="FFC00000"/>
      </right>
      <top/>
      <bottom/>
      <diagonal/>
    </border>
    <border>
      <left style="thick">
        <color rgb="FF0070C0"/>
      </left>
      <right style="thick">
        <color rgb="FFC00000"/>
      </right>
      <top/>
      <bottom style="thick">
        <color rgb="FF0070C0"/>
      </bottom>
      <diagonal/>
    </border>
    <border>
      <left style="thin">
        <color theme="0" tint="-0.24994659260841701"/>
      </left>
      <right/>
      <top style="thin">
        <color theme="0" tint="-0.24994659260841701"/>
      </top>
      <bottom style="thin">
        <color theme="0" tint="-0.34998626667073579"/>
      </bottom>
      <diagonal/>
    </border>
    <border>
      <left/>
      <right/>
      <top style="thin">
        <color theme="0" tint="-0.24994659260841701"/>
      </top>
      <bottom style="thin">
        <color theme="0" tint="-0.34998626667073579"/>
      </bottom>
      <diagonal/>
    </border>
    <border>
      <left/>
      <right style="thin">
        <color theme="0" tint="-0.24994659260841701"/>
      </right>
      <top style="thin">
        <color theme="0" tint="-0.24994659260841701"/>
      </top>
      <bottom style="thin">
        <color theme="0" tint="-0.34998626667073579"/>
      </bottom>
      <diagonal/>
    </border>
  </borders>
  <cellStyleXfs count="2">
    <xf numFmtId="0" fontId="0" fillId="0" borderId="0"/>
    <xf numFmtId="164" fontId="5" fillId="0" borderId="0" applyFont="0" applyFill="0" applyBorder="0" applyAlignment="0" applyProtection="0"/>
  </cellStyleXfs>
  <cellXfs count="205">
    <xf numFmtId="0" fontId="0" fillId="0" borderId="0" xfId="0"/>
    <xf numFmtId="0" fontId="1" fillId="0" borderId="0" xfId="0" applyFont="1"/>
    <xf numFmtId="49" fontId="0" fillId="0" borderId="0" xfId="0" applyNumberFormat="1"/>
    <xf numFmtId="0" fontId="0" fillId="0" borderId="2" xfId="0" applyBorder="1"/>
    <xf numFmtId="0" fontId="0" fillId="0" borderId="3" xfId="0" applyBorder="1"/>
    <xf numFmtId="0" fontId="0" fillId="0" borderId="1" xfId="0" applyBorder="1"/>
    <xf numFmtId="0" fontId="0" fillId="3" borderId="0" xfId="0" applyFill="1"/>
    <xf numFmtId="0" fontId="0" fillId="4" borderId="0" xfId="0" applyFill="1"/>
    <xf numFmtId="49" fontId="0" fillId="3" borderId="0" xfId="0" applyNumberFormat="1" applyFill="1"/>
    <xf numFmtId="0" fontId="0" fillId="0" borderId="0" xfId="0" applyAlignment="1">
      <alignment wrapText="1"/>
    </xf>
    <xf numFmtId="0" fontId="0" fillId="5" borderId="0" xfId="0" applyFill="1"/>
    <xf numFmtId="0" fontId="0" fillId="6" borderId="0" xfId="0" applyFill="1"/>
    <xf numFmtId="0" fontId="0" fillId="3" borderId="0" xfId="0" applyFill="1" applyAlignment="1">
      <alignment wrapText="1"/>
    </xf>
    <xf numFmtId="0" fontId="0" fillId="2" borderId="0" xfId="0" applyFill="1"/>
    <xf numFmtId="0" fontId="0" fillId="0" borderId="0" xfId="0" quotePrefix="1"/>
    <xf numFmtId="0" fontId="9" fillId="0" borderId="0" xfId="0" applyFont="1"/>
    <xf numFmtId="165" fontId="0" fillId="5" borderId="0" xfId="0" applyNumberFormat="1" applyFill="1"/>
    <xf numFmtId="11" fontId="0" fillId="0" borderId="0" xfId="0" applyNumberFormat="1"/>
    <xf numFmtId="0" fontId="15"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1" fillId="0" borderId="4" xfId="0" applyFont="1" applyBorder="1" applyAlignment="1">
      <alignment horizontal="center" wrapText="1"/>
    </xf>
    <xf numFmtId="0" fontId="12" fillId="0" borderId="4" xfId="0" applyFont="1" applyBorder="1"/>
    <xf numFmtId="0" fontId="0" fillId="0" borderId="4" xfId="0" applyBorder="1" applyAlignment="1">
      <alignment wrapText="1"/>
    </xf>
    <xf numFmtId="0" fontId="1" fillId="0" borderId="6" xfId="0" applyFont="1" applyBorder="1" applyAlignment="1">
      <alignment horizontal="center" wrapText="1"/>
    </xf>
    <xf numFmtId="0" fontId="0" fillId="0" borderId="7" xfId="0" applyBorder="1" applyAlignment="1">
      <alignment wrapText="1"/>
    </xf>
    <xf numFmtId="0" fontId="0" fillId="0" borderId="8" xfId="0" applyBorder="1"/>
    <xf numFmtId="0" fontId="0" fillId="0" borderId="9" xfId="0" applyBorder="1"/>
    <xf numFmtId="0" fontId="0" fillId="0" borderId="4" xfId="0" applyBorder="1" applyAlignment="1">
      <alignment horizontal="center"/>
    </xf>
    <xf numFmtId="0" fontId="0" fillId="0" borderId="4" xfId="0" applyBorder="1" applyAlignment="1">
      <alignment vertical="top"/>
    </xf>
    <xf numFmtId="0" fontId="18" fillId="3" borderId="4" xfId="0" applyFont="1" applyFill="1" applyBorder="1" applyAlignment="1">
      <alignment vertical="center" wrapText="1"/>
    </xf>
    <xf numFmtId="0" fontId="0" fillId="0" borderId="10" xfId="0" applyBorder="1"/>
    <xf numFmtId="0" fontId="0" fillId="0" borderId="11" xfId="0" applyBorder="1"/>
    <xf numFmtId="0" fontId="0" fillId="0" borderId="15" xfId="0" applyBorder="1"/>
    <xf numFmtId="0" fontId="18" fillId="8" borderId="4" xfId="0" applyFont="1" applyFill="1" applyBorder="1" applyAlignment="1">
      <alignment horizontal="center" vertical="center" wrapText="1"/>
    </xf>
    <xf numFmtId="0" fontId="18" fillId="8" borderId="19" xfId="0" applyFont="1" applyFill="1" applyBorder="1" applyAlignment="1">
      <alignment horizontal="center" vertical="center"/>
    </xf>
    <xf numFmtId="0" fontId="18" fillId="8" borderId="20" xfId="0" applyFont="1" applyFill="1" applyBorder="1" applyAlignment="1">
      <alignment horizontal="center" vertical="center" wrapText="1"/>
    </xf>
    <xf numFmtId="0" fontId="18" fillId="8" borderId="21" xfId="0" applyFont="1" applyFill="1" applyBorder="1" applyAlignment="1">
      <alignment vertical="center" wrapText="1"/>
    </xf>
    <xf numFmtId="0" fontId="18" fillId="8" borderId="33" xfId="0" applyFont="1" applyFill="1" applyBorder="1" applyAlignment="1">
      <alignment horizontal="center" vertical="center"/>
    </xf>
    <xf numFmtId="0" fontId="19" fillId="0" borderId="34" xfId="0" applyFont="1" applyBorder="1" applyAlignment="1">
      <alignment horizontal="left" vertical="center"/>
    </xf>
    <xf numFmtId="0" fontId="19" fillId="0" borderId="4" xfId="0" applyFont="1" applyBorder="1" applyAlignment="1">
      <alignment horizontal="center" vertical="center"/>
    </xf>
    <xf numFmtId="0" fontId="19" fillId="7" borderId="35" xfId="0" applyFont="1" applyFill="1" applyBorder="1" applyAlignment="1">
      <alignment horizontal="center" vertical="center"/>
    </xf>
    <xf numFmtId="0" fontId="19" fillId="0" borderId="36" xfId="0" applyFont="1" applyBorder="1" applyAlignment="1">
      <alignment horizontal="left" vertical="center"/>
    </xf>
    <xf numFmtId="0" fontId="19" fillId="0" borderId="37" xfId="0" applyFont="1" applyBorder="1" applyAlignment="1">
      <alignment horizontal="center" vertical="center"/>
    </xf>
    <xf numFmtId="0" fontId="19" fillId="7" borderId="38" xfId="0" applyFont="1" applyFill="1" applyBorder="1" applyAlignment="1">
      <alignment horizontal="center" vertical="center"/>
    </xf>
    <xf numFmtId="0" fontId="19" fillId="0" borderId="20" xfId="0" applyFont="1" applyBorder="1" applyAlignment="1">
      <alignment vertical="center" wrapText="1"/>
    </xf>
    <xf numFmtId="0" fontId="19" fillId="7" borderId="21" xfId="0" applyFont="1" applyFill="1" applyBorder="1" applyAlignment="1">
      <alignment horizontal="left" vertical="center"/>
    </xf>
    <xf numFmtId="0" fontId="19" fillId="7" borderId="21" xfId="0" applyFont="1" applyFill="1" applyBorder="1" applyAlignment="1">
      <alignment horizontal="left" vertical="center" wrapText="1"/>
    </xf>
    <xf numFmtId="0" fontId="19" fillId="0" borderId="22" xfId="0" applyFont="1" applyBorder="1" applyAlignment="1">
      <alignment vertical="center" wrapText="1"/>
    </xf>
    <xf numFmtId="0" fontId="19" fillId="0" borderId="23" xfId="0" applyFont="1" applyBorder="1" applyAlignment="1">
      <alignment horizontal="center" vertical="center"/>
    </xf>
    <xf numFmtId="0" fontId="19" fillId="7" borderId="24" xfId="0" applyFont="1" applyFill="1" applyBorder="1" applyAlignment="1">
      <alignment horizontal="left" vertical="center"/>
    </xf>
    <xf numFmtId="165" fontId="19" fillId="0" borderId="4" xfId="0" applyNumberFormat="1" applyFont="1" applyBorder="1" applyAlignment="1">
      <alignment vertical="center"/>
    </xf>
    <xf numFmtId="0" fontId="21" fillId="0" borderId="21" xfId="0" applyFont="1" applyBorder="1" applyAlignment="1">
      <alignment vertical="center"/>
    </xf>
    <xf numFmtId="0" fontId="19" fillId="0" borderId="21" xfId="0" applyFont="1" applyBorder="1" applyAlignment="1">
      <alignment vertical="center"/>
    </xf>
    <xf numFmtId="165" fontId="19" fillId="0" borderId="23" xfId="0" applyNumberFormat="1" applyFont="1" applyBorder="1" applyAlignment="1">
      <alignment vertical="center"/>
    </xf>
    <xf numFmtId="0" fontId="19" fillId="0" borderId="24" xfId="0" applyFont="1" applyBorder="1" applyAlignment="1">
      <alignment vertical="center"/>
    </xf>
    <xf numFmtId="0" fontId="18" fillId="8" borderId="6" xfId="0" applyFont="1" applyFill="1" applyBorder="1" applyAlignment="1">
      <alignment vertical="center" wrapText="1"/>
    </xf>
    <xf numFmtId="0" fontId="1" fillId="0" borderId="41" xfId="0" applyFont="1" applyBorder="1" applyAlignment="1">
      <alignment wrapText="1"/>
    </xf>
    <xf numFmtId="0" fontId="0" fillId="0" borderId="41" xfId="0" applyBorder="1"/>
    <xf numFmtId="0" fontId="12" fillId="0" borderId="41" xfId="0" applyFont="1" applyBorder="1"/>
    <xf numFmtId="0" fontId="2" fillId="0" borderId="41" xfId="0" applyFont="1" applyBorder="1" applyAlignment="1">
      <alignment wrapText="1"/>
    </xf>
    <xf numFmtId="0" fontId="10" fillId="0" borderId="41" xfId="0" applyFont="1" applyBorder="1" applyAlignment="1">
      <alignment wrapText="1"/>
    </xf>
    <xf numFmtId="0" fontId="8" fillId="0" borderId="41" xfId="0" applyFont="1" applyBorder="1" applyAlignment="1">
      <alignment horizontal="center" vertical="center"/>
    </xf>
    <xf numFmtId="0" fontId="0" fillId="0" borderId="43" xfId="0" applyBorder="1"/>
    <xf numFmtId="0" fontId="12" fillId="0" borderId="44" xfId="0" applyFont="1" applyBorder="1"/>
    <xf numFmtId="0" fontId="6" fillId="0" borderId="44" xfId="0" applyFont="1" applyBorder="1" applyAlignment="1">
      <alignment horizontal="left"/>
    </xf>
    <xf numFmtId="0" fontId="18" fillId="8" borderId="46" xfId="0" applyFont="1" applyFill="1" applyBorder="1" applyAlignment="1">
      <alignment horizontal="center"/>
    </xf>
    <xf numFmtId="0" fontId="19" fillId="0" borderId="46" xfId="0" applyFont="1" applyBorder="1"/>
    <xf numFmtId="0" fontId="19" fillId="0" borderId="47" xfId="0" applyFont="1" applyBorder="1"/>
    <xf numFmtId="0" fontId="18" fillId="8" borderId="49" xfId="0" applyFont="1" applyFill="1" applyBorder="1" applyAlignment="1">
      <alignment horizontal="center"/>
    </xf>
    <xf numFmtId="0" fontId="19" fillId="0" borderId="49" xfId="0" applyFont="1" applyBorder="1" applyAlignment="1">
      <alignment horizontal="center"/>
    </xf>
    <xf numFmtId="0" fontId="19" fillId="0" borderId="50" xfId="0" applyFont="1" applyBorder="1" applyAlignment="1">
      <alignment horizontal="center"/>
    </xf>
    <xf numFmtId="0" fontId="0" fillId="0" borderId="42" xfId="0" applyBorder="1"/>
    <xf numFmtId="0" fontId="0" fillId="0" borderId="44" xfId="0" applyBorder="1"/>
    <xf numFmtId="0" fontId="24" fillId="9" borderId="53" xfId="0" applyFont="1" applyFill="1" applyBorder="1" applyAlignment="1">
      <alignment horizontal="center"/>
    </xf>
    <xf numFmtId="0" fontId="24" fillId="9" borderId="51" xfId="0" applyFont="1" applyFill="1" applyBorder="1" applyAlignment="1">
      <alignment horizontal="center"/>
    </xf>
    <xf numFmtId="0" fontId="24" fillId="9" borderId="52" xfId="0" applyFont="1" applyFill="1" applyBorder="1" applyAlignment="1">
      <alignment horizontal="center"/>
    </xf>
    <xf numFmtId="0" fontId="2" fillId="0" borderId="59" xfId="0" applyFont="1" applyBorder="1" applyAlignment="1">
      <alignment wrapText="1"/>
    </xf>
    <xf numFmtId="0" fontId="2" fillId="0" borderId="60" xfId="0" applyFont="1" applyBorder="1" applyAlignment="1">
      <alignment wrapText="1"/>
    </xf>
    <xf numFmtId="0" fontId="0" fillId="0" borderId="61" xfId="0" applyBorder="1"/>
    <xf numFmtId="0" fontId="0" fillId="0" borderId="62" xfId="0" applyBorder="1"/>
    <xf numFmtId="0" fontId="3" fillId="0" borderId="42" xfId="0" applyFont="1" applyBorder="1" applyAlignment="1">
      <alignment wrapText="1"/>
    </xf>
    <xf numFmtId="0" fontId="2" fillId="0" borderId="43" xfId="0" applyFont="1" applyBorder="1" applyAlignment="1">
      <alignment wrapText="1"/>
    </xf>
    <xf numFmtId="0" fontId="20" fillId="9" borderId="51" xfId="0" applyFont="1" applyFill="1" applyBorder="1" applyAlignment="1">
      <alignment horizontal="center" vertical="center" wrapText="1"/>
    </xf>
    <xf numFmtId="0" fontId="20" fillId="9" borderId="53" xfId="0" applyFont="1" applyFill="1" applyBorder="1" applyAlignment="1">
      <alignment horizontal="center" vertical="center" wrapText="1"/>
    </xf>
    <xf numFmtId="165" fontId="0" fillId="0" borderId="63" xfId="0" applyNumberFormat="1" applyBorder="1"/>
    <xf numFmtId="165" fontId="0" fillId="0" borderId="64" xfId="0" applyNumberFormat="1" applyBorder="1"/>
    <xf numFmtId="0" fontId="19" fillId="0" borderId="49" xfId="0" applyFont="1" applyBorder="1" applyAlignment="1">
      <alignment horizontal="center" vertical="center" wrapText="1"/>
    </xf>
    <xf numFmtId="0" fontId="1" fillId="0" borderId="54" xfId="0" applyFont="1" applyBorder="1"/>
    <xf numFmtId="0" fontId="1" fillId="0" borderId="41" xfId="0" applyFont="1" applyBorder="1"/>
    <xf numFmtId="0" fontId="0" fillId="0" borderId="55" xfId="0" applyBorder="1"/>
    <xf numFmtId="0" fontId="19" fillId="0" borderId="55" xfId="0" applyFont="1" applyBorder="1"/>
    <xf numFmtId="0" fontId="19" fillId="0" borderId="58" xfId="0" applyFont="1" applyBorder="1"/>
    <xf numFmtId="165" fontId="0" fillId="0" borderId="42" xfId="0" applyNumberFormat="1" applyBorder="1"/>
    <xf numFmtId="165" fontId="0" fillId="0" borderId="55" xfId="0" applyNumberFormat="1" applyBorder="1"/>
    <xf numFmtId="165" fontId="0" fillId="0" borderId="54" xfId="0" applyNumberFormat="1" applyBorder="1"/>
    <xf numFmtId="0" fontId="19" fillId="8" borderId="54" xfId="0" applyFont="1" applyFill="1" applyBorder="1" applyAlignment="1">
      <alignment horizontal="center"/>
    </xf>
    <xf numFmtId="0" fontId="19" fillId="8" borderId="41" xfId="0" applyFont="1" applyFill="1" applyBorder="1" applyAlignment="1">
      <alignment horizontal="center"/>
    </xf>
    <xf numFmtId="0" fontId="23" fillId="0" borderId="5" xfId="0" applyFont="1" applyBorder="1" applyAlignment="1">
      <alignment horizontal="left" vertical="center" wrapText="1"/>
    </xf>
    <xf numFmtId="0" fontId="19" fillId="3" borderId="54" xfId="0" applyFont="1" applyFill="1" applyBorder="1" applyAlignment="1">
      <alignment horizontal="center"/>
    </xf>
    <xf numFmtId="0" fontId="19" fillId="3" borderId="41" xfId="0" applyFont="1" applyFill="1" applyBorder="1" applyAlignment="1">
      <alignment horizontal="center"/>
    </xf>
    <xf numFmtId="0" fontId="19" fillId="3" borderId="56" xfId="0" applyFont="1" applyFill="1" applyBorder="1" applyAlignment="1">
      <alignment horizontal="center"/>
    </xf>
    <xf numFmtId="0" fontId="19" fillId="3" borderId="57" xfId="0" applyFont="1" applyFill="1" applyBorder="1" applyAlignment="1">
      <alignment horizontal="center"/>
    </xf>
    <xf numFmtId="0" fontId="0" fillId="0" borderId="41" xfId="0" applyBorder="1" applyAlignment="1">
      <alignment horizontal="center" vertical="center"/>
    </xf>
    <xf numFmtId="0" fontId="5" fillId="8" borderId="83" xfId="0" applyFont="1" applyFill="1" applyBorder="1" applyAlignment="1">
      <alignment horizontal="left" vertical="center" wrapText="1"/>
    </xf>
    <xf numFmtId="0" fontId="5" fillId="8" borderId="84" xfId="0" applyFont="1" applyFill="1" applyBorder="1" applyAlignment="1">
      <alignment horizontal="left" vertical="center" wrapText="1"/>
    </xf>
    <xf numFmtId="0" fontId="5" fillId="8" borderId="85" xfId="0" applyFont="1" applyFill="1" applyBorder="1" applyAlignment="1">
      <alignment horizontal="left" vertical="center" wrapText="1"/>
    </xf>
    <xf numFmtId="0" fontId="0" fillId="7" borderId="87" xfId="0" applyFill="1" applyBorder="1" applyAlignment="1">
      <alignment horizontal="center"/>
    </xf>
    <xf numFmtId="0" fontId="0" fillId="7" borderId="88" xfId="0" applyFill="1" applyBorder="1" applyAlignment="1">
      <alignment horizontal="center"/>
    </xf>
    <xf numFmtId="0" fontId="18" fillId="0" borderId="82" xfId="0" applyFont="1" applyBorder="1" applyAlignment="1">
      <alignment horizontal="center" vertical="center" wrapText="1"/>
    </xf>
    <xf numFmtId="0" fontId="18" fillId="8" borderId="86" xfId="0" applyFont="1" applyFill="1" applyBorder="1" applyAlignment="1">
      <alignment horizontal="center" vertical="center"/>
    </xf>
    <xf numFmtId="0" fontId="0" fillId="7" borderId="78" xfId="0" applyFill="1" applyBorder="1" applyAlignment="1">
      <alignment horizontal="center" vertical="center"/>
    </xf>
    <xf numFmtId="0" fontId="14" fillId="7" borderId="79" xfId="0" applyFont="1" applyFill="1" applyBorder="1" applyAlignment="1">
      <alignment horizontal="center" vertical="center" wrapText="1"/>
    </xf>
    <xf numFmtId="0" fontId="10" fillId="7" borderId="79" xfId="0" applyFont="1" applyFill="1" applyBorder="1" applyAlignment="1">
      <alignment horizontal="center" vertical="center" wrapText="1"/>
    </xf>
    <xf numFmtId="0" fontId="0" fillId="7" borderId="79" xfId="0" applyFill="1" applyBorder="1" applyAlignment="1">
      <alignment horizontal="center" vertical="center"/>
    </xf>
    <xf numFmtId="0" fontId="0" fillId="7" borderId="80" xfId="0" applyFill="1" applyBorder="1" applyAlignment="1">
      <alignment horizontal="center" vertical="center"/>
    </xf>
    <xf numFmtId="0" fontId="0" fillId="3" borderId="13" xfId="0" applyFill="1" applyBorder="1" applyAlignment="1">
      <alignment wrapText="1"/>
    </xf>
    <xf numFmtId="0" fontId="0" fillId="8" borderId="5" xfId="0" applyFill="1" applyBorder="1" applyAlignment="1">
      <alignment vertical="center" wrapText="1"/>
    </xf>
    <xf numFmtId="0" fontId="0" fillId="8" borderId="91" xfId="0" applyFill="1" applyBorder="1" applyAlignment="1">
      <alignment vertical="center" wrapText="1"/>
    </xf>
    <xf numFmtId="0" fontId="0" fillId="0" borderId="92" xfId="0" applyBorder="1" applyAlignment="1">
      <alignment wrapText="1"/>
    </xf>
    <xf numFmtId="0" fontId="0" fillId="0" borderId="93" xfId="0" applyBorder="1" applyAlignment="1">
      <alignment wrapText="1"/>
    </xf>
    <xf numFmtId="0" fontId="0" fillId="0" borderId="94" xfId="0" applyBorder="1" applyAlignment="1">
      <alignment wrapText="1"/>
    </xf>
    <xf numFmtId="0" fontId="18" fillId="0" borderId="89" xfId="0" applyFont="1" applyBorder="1" applyAlignment="1">
      <alignment horizontal="center" vertical="center"/>
    </xf>
    <xf numFmtId="0" fontId="18" fillId="0" borderId="90" xfId="0" applyFont="1" applyBorder="1" applyAlignment="1">
      <alignment horizontal="center" vertical="center" wrapText="1"/>
    </xf>
    <xf numFmtId="0" fontId="18" fillId="0" borderId="81" xfId="0" applyFont="1" applyBorder="1" applyAlignment="1">
      <alignment horizontal="center" vertical="center"/>
    </xf>
    <xf numFmtId="0" fontId="18" fillId="8" borderId="95" xfId="0" applyFont="1" applyFill="1" applyBorder="1" applyAlignment="1">
      <alignment horizontal="center" vertical="center" wrapText="1"/>
    </xf>
    <xf numFmtId="0" fontId="0" fillId="13" borderId="96" xfId="0" applyFill="1" applyBorder="1" applyAlignment="1" applyProtection="1">
      <alignment wrapText="1"/>
      <protection locked="0"/>
    </xf>
    <xf numFmtId="0" fontId="0" fillId="13" borderId="97" xfId="0" applyFill="1" applyBorder="1" applyAlignment="1" applyProtection="1">
      <alignment wrapText="1"/>
      <protection locked="0"/>
    </xf>
    <xf numFmtId="0" fontId="18" fillId="8" borderId="98" xfId="0" applyFont="1" applyFill="1" applyBorder="1" applyAlignment="1">
      <alignment horizontal="center" vertical="center"/>
    </xf>
    <xf numFmtId="0" fontId="5" fillId="7" borderId="93" xfId="1" applyNumberFormat="1" applyFont="1" applyFill="1" applyBorder="1" applyAlignment="1">
      <alignment horizontal="left" vertical="center"/>
    </xf>
    <xf numFmtId="0" fontId="5" fillId="7" borderId="94" xfId="1" applyNumberFormat="1" applyFont="1" applyFill="1" applyBorder="1" applyAlignment="1">
      <alignment horizontal="left" vertical="center"/>
    </xf>
    <xf numFmtId="0" fontId="5" fillId="0" borderId="92" xfId="1" applyNumberFormat="1" applyFont="1" applyBorder="1" applyAlignment="1">
      <alignment horizontal="left" vertical="center"/>
    </xf>
    <xf numFmtId="0" fontId="5" fillId="0" borderId="93" xfId="1" applyNumberFormat="1" applyFont="1" applyBorder="1" applyAlignment="1">
      <alignment horizontal="left" vertical="center"/>
    </xf>
    <xf numFmtId="0" fontId="5" fillId="0" borderId="94" xfId="1" applyNumberFormat="1" applyFont="1" applyBorder="1" applyAlignment="1">
      <alignment horizontal="lef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9" fillId="8" borderId="6" xfId="0" applyFont="1" applyFill="1" applyBorder="1" applyAlignment="1">
      <alignment horizontal="center" vertical="center" wrapText="1"/>
    </xf>
    <xf numFmtId="0" fontId="23" fillId="8" borderId="9" xfId="0" applyFont="1" applyFill="1" applyBorder="1" applyAlignment="1">
      <alignment horizontal="center" vertical="top" wrapText="1"/>
    </xf>
    <xf numFmtId="0" fontId="23" fillId="8" borderId="8" xfId="0" applyFont="1" applyFill="1" applyBorder="1" applyAlignment="1">
      <alignment horizontal="center" vertical="top" wrapText="1"/>
    </xf>
    <xf numFmtId="0" fontId="23" fillId="8" borderId="5" xfId="0" applyFont="1" applyFill="1" applyBorder="1" applyAlignment="1">
      <alignment horizontal="center" vertical="top" wrapText="1"/>
    </xf>
    <xf numFmtId="0" fontId="19" fillId="13" borderId="76" xfId="0" applyFont="1" applyFill="1" applyBorder="1" applyAlignment="1">
      <alignment horizontal="center" vertical="center" wrapText="1"/>
    </xf>
    <xf numFmtId="0" fontId="19" fillId="13" borderId="0" xfId="0" applyFont="1" applyFill="1" applyAlignment="1">
      <alignment horizontal="center" vertical="center" wrapText="1"/>
    </xf>
    <xf numFmtId="0" fontId="19" fillId="13" borderId="77" xfId="0" applyFont="1" applyFill="1" applyBorder="1" applyAlignment="1">
      <alignment horizontal="center" vertical="center" wrapText="1"/>
    </xf>
    <xf numFmtId="0" fontId="26" fillId="12" borderId="9" xfId="0" applyFont="1" applyFill="1" applyBorder="1" applyAlignment="1">
      <alignment horizontal="left" vertical="center" wrapText="1"/>
    </xf>
    <xf numFmtId="0" fontId="26" fillId="12" borderId="8" xfId="0" applyFont="1" applyFill="1" applyBorder="1" applyAlignment="1">
      <alignment horizontal="left" vertical="center" wrapText="1"/>
    </xf>
    <xf numFmtId="0" fontId="26" fillId="12" borderId="5" xfId="0" applyFont="1" applyFill="1" applyBorder="1" applyAlignment="1">
      <alignment horizontal="left" vertical="center" wrapText="1"/>
    </xf>
    <xf numFmtId="0" fontId="18" fillId="11" borderId="9" xfId="0" applyFont="1" applyFill="1" applyBorder="1" applyAlignment="1">
      <alignment horizontal="left" vertical="center" wrapText="1"/>
    </xf>
    <xf numFmtId="0" fontId="18" fillId="11" borderId="8" xfId="0" applyFont="1" applyFill="1" applyBorder="1" applyAlignment="1">
      <alignment horizontal="left" vertical="center" wrapText="1"/>
    </xf>
    <xf numFmtId="0" fontId="24" fillId="11" borderId="30" xfId="0" applyFont="1" applyFill="1" applyBorder="1" applyAlignment="1">
      <alignment horizontal="center" vertical="center" wrapText="1"/>
    </xf>
    <xf numFmtId="0" fontId="26" fillId="11" borderId="31" xfId="0" applyFont="1" applyFill="1" applyBorder="1" applyAlignment="1">
      <alignment horizontal="center" vertical="center" wrapText="1"/>
    </xf>
    <xf numFmtId="0" fontId="26" fillId="11" borderId="32" xfId="0" applyFont="1" applyFill="1" applyBorder="1" applyAlignment="1">
      <alignment horizontal="center" vertical="center" wrapText="1"/>
    </xf>
    <xf numFmtId="0" fontId="18" fillId="8" borderId="12" xfId="0" applyFont="1" applyFill="1" applyBorder="1" applyAlignment="1">
      <alignment horizontal="center" vertical="center"/>
    </xf>
    <xf numFmtId="0" fontId="18" fillId="8" borderId="39" xfId="0" applyFont="1" applyFill="1" applyBorder="1" applyAlignment="1">
      <alignment horizontal="center" vertical="center"/>
    </xf>
    <xf numFmtId="0" fontId="23" fillId="8" borderId="9" xfId="0" applyFont="1" applyFill="1" applyBorder="1" applyAlignment="1">
      <alignment horizontal="center" vertical="center" wrapText="1"/>
    </xf>
    <xf numFmtId="0" fontId="23" fillId="8" borderId="8"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1" fillId="0" borderId="6" xfId="0" applyFont="1" applyBorder="1" applyAlignment="1">
      <alignment horizontal="center" wrapText="1"/>
    </xf>
    <xf numFmtId="0" fontId="26" fillId="11" borderId="4" xfId="0" applyFont="1" applyFill="1" applyBorder="1" applyAlignment="1">
      <alignment horizontal="left" vertical="center" wrapText="1"/>
    </xf>
    <xf numFmtId="0" fontId="0" fillId="0" borderId="4" xfId="0" applyBorder="1"/>
    <xf numFmtId="0" fontId="26" fillId="10" borderId="9" xfId="0" applyFont="1" applyFill="1" applyBorder="1" applyAlignment="1">
      <alignment horizontal="left" vertical="center" wrapText="1"/>
    </xf>
    <xf numFmtId="0" fontId="26" fillId="10" borderId="8" xfId="0" applyFont="1" applyFill="1" applyBorder="1" applyAlignment="1">
      <alignment horizontal="left" vertical="center" wrapText="1"/>
    </xf>
    <xf numFmtId="0" fontId="26" fillId="10" borderId="5" xfId="0" applyFont="1" applyFill="1" applyBorder="1" applyAlignment="1">
      <alignment horizontal="left" vertical="center" wrapText="1"/>
    </xf>
    <xf numFmtId="0" fontId="20" fillId="10" borderId="9" xfId="0" applyFont="1" applyFill="1" applyBorder="1" applyAlignment="1">
      <alignment horizontal="left" vertical="center" wrapText="1"/>
    </xf>
    <xf numFmtId="0" fontId="12" fillId="10" borderId="8" xfId="0" applyFont="1" applyFill="1" applyBorder="1" applyAlignment="1">
      <alignment horizontal="left" vertical="center" wrapText="1"/>
    </xf>
    <xf numFmtId="0" fontId="12" fillId="10" borderId="5" xfId="0" applyFont="1" applyFill="1" applyBorder="1" applyAlignment="1">
      <alignment horizontal="left" vertical="center" wrapText="1"/>
    </xf>
    <xf numFmtId="0" fontId="25" fillId="10" borderId="25" xfId="0" applyFont="1" applyFill="1" applyBorder="1" applyAlignment="1">
      <alignment horizontal="center" vertical="top" wrapText="1"/>
    </xf>
    <xf numFmtId="0" fontId="25" fillId="10" borderId="26" xfId="0" applyFont="1" applyFill="1" applyBorder="1" applyAlignment="1">
      <alignment horizontal="center" vertical="top" wrapText="1"/>
    </xf>
    <xf numFmtId="0" fontId="25" fillId="10" borderId="27" xfId="0" applyFont="1" applyFill="1" applyBorder="1" applyAlignment="1">
      <alignment horizontal="center" vertical="top" wrapText="1"/>
    </xf>
    <xf numFmtId="0" fontId="25" fillId="10" borderId="28" xfId="0" applyFont="1" applyFill="1" applyBorder="1" applyAlignment="1">
      <alignment horizontal="center" vertical="top" wrapText="1"/>
    </xf>
    <xf numFmtId="0" fontId="25" fillId="10" borderId="14" xfId="0" applyFont="1" applyFill="1" applyBorder="1" applyAlignment="1">
      <alignment horizontal="center" vertical="top" wrapText="1"/>
    </xf>
    <xf numFmtId="0" fontId="25" fillId="10" borderId="29" xfId="0" applyFont="1" applyFill="1" applyBorder="1" applyAlignment="1">
      <alignment horizontal="center" vertical="top" wrapText="1"/>
    </xf>
    <xf numFmtId="0" fontId="24" fillId="10" borderId="16" xfId="0" applyFont="1" applyFill="1" applyBorder="1" applyAlignment="1">
      <alignment horizontal="center" vertical="center"/>
    </xf>
    <xf numFmtId="0" fontId="24" fillId="10" borderId="17" xfId="0" applyFont="1" applyFill="1" applyBorder="1" applyAlignment="1">
      <alignment horizontal="center" vertical="center"/>
    </xf>
    <xf numFmtId="0" fontId="24" fillId="10" borderId="18" xfId="0" applyFont="1" applyFill="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18" fillId="8" borderId="9" xfId="0" applyFont="1" applyFill="1" applyBorder="1" applyAlignment="1">
      <alignment horizontal="center" vertical="center"/>
    </xf>
    <xf numFmtId="0" fontId="18" fillId="8" borderId="40" xfId="0" applyFont="1" applyFill="1" applyBorder="1" applyAlignment="1">
      <alignment horizontal="center" vertical="center"/>
    </xf>
    <xf numFmtId="0" fontId="26" fillId="9" borderId="102" xfId="0" applyFont="1" applyFill="1" applyBorder="1" applyAlignment="1">
      <alignment horizontal="left" vertical="center" wrapText="1"/>
    </xf>
    <xf numFmtId="0" fontId="26" fillId="9" borderId="103" xfId="0" applyFont="1" applyFill="1" applyBorder="1" applyAlignment="1">
      <alignment horizontal="left" vertical="center" wrapText="1"/>
    </xf>
    <xf numFmtId="0" fontId="26" fillId="9" borderId="104" xfId="0" applyFont="1" applyFill="1" applyBorder="1" applyAlignment="1">
      <alignment horizontal="left" vertical="center" wrapText="1"/>
    </xf>
    <xf numFmtId="0" fontId="23" fillId="8" borderId="75" xfId="0" applyFont="1" applyFill="1" applyBorder="1" applyAlignment="1">
      <alignment horizontal="center" vertical="center" wrapText="1"/>
    </xf>
    <xf numFmtId="0" fontId="23" fillId="8" borderId="74" xfId="0" applyFont="1" applyFill="1" applyBorder="1" applyAlignment="1">
      <alignment horizontal="center" vertical="center" wrapText="1"/>
    </xf>
    <xf numFmtId="0" fontId="19" fillId="13" borderId="74" xfId="0" applyFont="1" applyFill="1" applyBorder="1" applyAlignment="1">
      <alignment horizontal="center" vertical="center" wrapText="1"/>
    </xf>
    <xf numFmtId="0" fontId="24" fillId="10" borderId="45" xfId="0" applyFont="1" applyFill="1" applyBorder="1" applyAlignment="1">
      <alignment horizontal="center"/>
    </xf>
    <xf numFmtId="0" fontId="24" fillId="10" borderId="48" xfId="0" applyFont="1" applyFill="1" applyBorder="1" applyAlignment="1">
      <alignment horizontal="center"/>
    </xf>
    <xf numFmtId="0" fontId="10" fillId="0" borderId="99" xfId="0" applyFont="1" applyBorder="1" applyAlignment="1">
      <alignment horizontal="center" vertical="center" wrapText="1"/>
    </xf>
    <xf numFmtId="0" fontId="10" fillId="0" borderId="100" xfId="0" applyFont="1" applyBorder="1" applyAlignment="1">
      <alignment horizontal="center" vertical="center" wrapText="1"/>
    </xf>
    <xf numFmtId="0" fontId="10" fillId="0" borderId="101"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70" xfId="0" applyFont="1" applyBorder="1" applyAlignment="1">
      <alignment horizontal="center" vertical="center" wrapText="1"/>
    </xf>
    <xf numFmtId="0" fontId="25" fillId="10" borderId="25" xfId="0" applyFont="1" applyFill="1" applyBorder="1" applyAlignment="1">
      <alignment horizontal="center" wrapText="1"/>
    </xf>
    <xf numFmtId="0" fontId="25" fillId="10" borderId="26" xfId="0" applyFont="1" applyFill="1" applyBorder="1" applyAlignment="1">
      <alignment horizontal="center" wrapText="1"/>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19" fillId="0" borderId="49"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42" xfId="0" applyFont="1" applyBorder="1" applyAlignment="1">
      <alignment horizontal="center" vertical="center" wrapText="1"/>
    </xf>
  </cellXfs>
  <cellStyles count="2">
    <cellStyle name="Comma" xfId="1" builtinId="3"/>
    <cellStyle name="Normal" xfId="0" builtinId="0"/>
  </cellStyles>
  <dxfs count="3">
    <dxf>
      <font>
        <color theme="9" tint="0.79998168889431442"/>
      </font>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F7FF"/>
      <color rgb="FFFFECAF"/>
      <color rgb="FFE9F6DA"/>
      <color rgb="FF94B42E"/>
      <color rgb="FF9FC131"/>
      <color rgb="FFB1D14B"/>
      <color rgb="FFBED969"/>
      <color rgb="FFFF5D5D"/>
      <color rgb="FFC6F3F2"/>
      <color rgb="FF44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sample fraction approx</a:t>
            </a:r>
          </a:p>
        </c:rich>
      </c:tx>
      <c:layout>
        <c:manualLayout>
          <c:xMode val="edge"/>
          <c:yMode val="edge"/>
          <c:x val="0.3482040531097134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1"/>
            <c:trendlineLbl>
              <c:layout>
                <c:manualLayout>
                  <c:x val="-1.8576294315411832E-4"/>
                  <c:y val="-0.15545122877884457"/>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'Search type evaluation'!$B$34:$R$34</c:f>
              <c:numCache>
                <c:formatCode>General</c:formatCode>
                <c:ptCount val="17"/>
                <c:pt idx="0">
                  <c:v>1</c:v>
                </c:pt>
                <c:pt idx="1">
                  <c:v>11</c:v>
                </c:pt>
                <c:pt idx="2">
                  <c:v>21</c:v>
                </c:pt>
                <c:pt idx="3">
                  <c:v>26</c:v>
                </c:pt>
                <c:pt idx="4">
                  <c:v>31</c:v>
                </c:pt>
                <c:pt idx="5">
                  <c:v>42</c:v>
                </c:pt>
                <c:pt idx="6">
                  <c:v>51</c:v>
                </c:pt>
                <c:pt idx="7">
                  <c:v>76</c:v>
                </c:pt>
                <c:pt idx="8">
                  <c:v>101</c:v>
                </c:pt>
                <c:pt idx="9">
                  <c:v>151</c:v>
                </c:pt>
                <c:pt idx="10">
                  <c:v>201</c:v>
                </c:pt>
                <c:pt idx="11">
                  <c:v>251</c:v>
                </c:pt>
                <c:pt idx="12">
                  <c:v>301</c:v>
                </c:pt>
                <c:pt idx="13">
                  <c:v>401</c:v>
                </c:pt>
                <c:pt idx="14">
                  <c:v>501</c:v>
                </c:pt>
                <c:pt idx="15">
                  <c:v>751</c:v>
                </c:pt>
                <c:pt idx="16">
                  <c:v>1000</c:v>
                </c:pt>
              </c:numCache>
            </c:numRef>
          </c:xVal>
          <c:yVal>
            <c:numRef>
              <c:f>'Search type evaluation'!$B$35:$R$35</c:f>
              <c:numCache>
                <c:formatCode>General</c:formatCode>
                <c:ptCount val="17"/>
                <c:pt idx="0">
                  <c:v>1</c:v>
                </c:pt>
                <c:pt idx="1">
                  <c:v>1</c:v>
                </c:pt>
                <c:pt idx="2">
                  <c:v>1</c:v>
                </c:pt>
                <c:pt idx="3">
                  <c:v>0.95</c:v>
                </c:pt>
                <c:pt idx="4">
                  <c:v>0.9</c:v>
                </c:pt>
                <c:pt idx="5">
                  <c:v>0.85</c:v>
                </c:pt>
                <c:pt idx="6">
                  <c:v>0.77</c:v>
                </c:pt>
                <c:pt idx="7">
                  <c:v>0.7</c:v>
                </c:pt>
                <c:pt idx="8">
                  <c:v>0.63</c:v>
                </c:pt>
                <c:pt idx="9">
                  <c:v>0.57999999999999996</c:v>
                </c:pt>
                <c:pt idx="10">
                  <c:v>0.5</c:v>
                </c:pt>
                <c:pt idx="11">
                  <c:v>0.45</c:v>
                </c:pt>
                <c:pt idx="12">
                  <c:v>0.4</c:v>
                </c:pt>
                <c:pt idx="13">
                  <c:v>0.35</c:v>
                </c:pt>
                <c:pt idx="14">
                  <c:v>0.3</c:v>
                </c:pt>
                <c:pt idx="15">
                  <c:v>0.2</c:v>
                </c:pt>
                <c:pt idx="16">
                  <c:v>0.15</c:v>
                </c:pt>
              </c:numCache>
            </c:numRef>
          </c:yVal>
          <c:smooth val="0"/>
          <c:extLst>
            <c:ext xmlns:c16="http://schemas.microsoft.com/office/drawing/2014/chart" uri="{C3380CC4-5D6E-409C-BE32-E72D297353CC}">
              <c16:uniqueId val="{00000000-0E21-4291-916E-0AEE97CA8236}"/>
            </c:ext>
          </c:extLst>
        </c:ser>
        <c:dLbls>
          <c:showLegendKey val="0"/>
          <c:showVal val="0"/>
          <c:showCatName val="0"/>
          <c:showSerName val="0"/>
          <c:showPercent val="0"/>
          <c:showBubbleSize val="0"/>
        </c:dLbls>
        <c:axId val="1138195456"/>
        <c:axId val="1138210848"/>
      </c:scatterChart>
      <c:valAx>
        <c:axId val="1138195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210848"/>
        <c:crosses val="autoZero"/>
        <c:crossBetween val="midCat"/>
      </c:valAx>
      <c:valAx>
        <c:axId val="113821084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81954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'Carcass density'!$C$20</c:f>
              <c:strCache>
                <c:ptCount val="1"/>
                <c:pt idx="0">
                  <c:v>Cumulative.Bat.density</c:v>
                </c:pt>
              </c:strCache>
            </c:strRef>
          </c:tx>
          <c:spPr>
            <a:ln w="19050" cap="rnd">
              <a:noFill/>
              <a:round/>
            </a:ln>
            <a:effectLst/>
          </c:spPr>
          <c:marker>
            <c:symbol val="circle"/>
            <c:size val="5"/>
            <c:spPr>
              <a:solidFill>
                <a:schemeClr val="accent1"/>
              </a:solidFill>
              <a:ln w="9525">
                <a:solidFill>
                  <a:schemeClr val="accent1"/>
                </a:solidFill>
              </a:ln>
              <a:effectLst/>
            </c:spPr>
          </c:marker>
          <c:yVal>
            <c:numRef>
              <c:f>'Carcass density'!$C$21:$C$119</c:f>
              <c:numCache>
                <c:formatCode>General</c:formatCode>
                <c:ptCount val="99"/>
                <c:pt idx="0">
                  <c:v>4.7299381726006298E-2</c:v>
                </c:pt>
                <c:pt idx="1">
                  <c:v>9.1396717159656596E-2</c:v>
                </c:pt>
                <c:pt idx="2">
                  <c:v>0.13244133192715499</c:v>
                </c:pt>
                <c:pt idx="3">
                  <c:v>0.17058255165470701</c:v>
                </c:pt>
                <c:pt idx="4">
                  <c:v>0.205969701968515</c:v>
                </c:pt>
                <c:pt idx="5">
                  <c:v>0.23875210849478401</c:v>
                </c:pt>
                <c:pt idx="6">
                  <c:v>0.26907909685971798</c:v>
                </c:pt>
                <c:pt idx="7">
                  <c:v>0.29709999268952197</c:v>
                </c:pt>
                <c:pt idx="8">
                  <c:v>0.322964121610399</c:v>
                </c:pt>
                <c:pt idx="9">
                  <c:v>0.34682080924855502</c:v>
                </c:pt>
                <c:pt idx="10">
                  <c:v>0.36882214847985201</c:v>
                </c:pt>
                <c:pt idx="11">
                  <c:v>0.38913130117879302</c:v>
                </c:pt>
                <c:pt idx="12">
                  <c:v>0.40791419646953803</c:v>
                </c:pt>
                <c:pt idx="13">
                  <c:v>0.42533676347624899</c:v>
                </c:pt>
                <c:pt idx="14">
                  <c:v>0.441564931323086</c:v>
                </c:pt>
                <c:pt idx="15">
                  <c:v>0.45676462913421201</c:v>
                </c:pt>
                <c:pt idx="16">
                  <c:v>0.471101786033787</c:v>
                </c:pt>
                <c:pt idx="17">
                  <c:v>0.48474233114597198</c:v>
                </c:pt>
                <c:pt idx="18">
                  <c:v>0.49785219359492799</c:v>
                </c:pt>
                <c:pt idx="19">
                  <c:v>0.51059730250481705</c:v>
                </c:pt>
                <c:pt idx="20">
                  <c:v>0.52312975075150203</c:v>
                </c:pt>
                <c:pt idx="21">
                  <c:v>0.53554628621765799</c:v>
                </c:pt>
                <c:pt idx="22">
                  <c:v>0.54792982053766004</c:v>
                </c:pt>
                <c:pt idx="23">
                  <c:v>0.56036326534588599</c:v>
                </c:pt>
                <c:pt idx="24">
                  <c:v>0.57292953227671195</c:v>
                </c:pt>
                <c:pt idx="25">
                  <c:v>0.58571153296451495</c:v>
                </c:pt>
                <c:pt idx="26">
                  <c:v>0.59879217904367099</c:v>
                </c:pt>
                <c:pt idx="27">
                  <c:v>0.61225438214855699</c:v>
                </c:pt>
                <c:pt idx="28">
                  <c:v>0.62618105391354895</c:v>
                </c:pt>
                <c:pt idx="29">
                  <c:v>0.640655105973025</c:v>
                </c:pt>
                <c:pt idx="30">
                  <c:v>0.65571568859121099</c:v>
                </c:pt>
                <c:pt idx="31">
                  <c:v>0.671226906551733</c:v>
                </c:pt>
                <c:pt idx="32">
                  <c:v>0.68700910326806897</c:v>
                </c:pt>
                <c:pt idx="33">
                  <c:v>0.70288262215369501</c:v>
                </c:pt>
                <c:pt idx="34">
                  <c:v>0.71866780662208896</c:v>
                </c:pt>
                <c:pt idx="35">
                  <c:v>0.73418500008672805</c:v>
                </c:pt>
                <c:pt idx="36">
                  <c:v>0.74925454596108698</c:v>
                </c:pt>
                <c:pt idx="37">
                  <c:v>0.76369678765864601</c:v>
                </c:pt>
                <c:pt idx="38">
                  <c:v>0.77733206859287896</c:v>
                </c:pt>
                <c:pt idx="39">
                  <c:v>0.78998073217726394</c:v>
                </c:pt>
                <c:pt idx="40">
                  <c:v>0.80151231183933902</c:v>
                </c:pt>
                <c:pt idx="41">
                  <c:v>0.81199310106288602</c:v>
                </c:pt>
                <c:pt idx="42">
                  <c:v>0.82153858334574803</c:v>
                </c:pt>
                <c:pt idx="43">
                  <c:v>0.830264242185768</c:v>
                </c:pt>
                <c:pt idx="44">
                  <c:v>0.838285561080788</c:v>
                </c:pt>
                <c:pt idx="45">
                  <c:v>0.845718023528651</c:v>
                </c:pt>
                <c:pt idx="46">
                  <c:v>0.85267711302720095</c:v>
                </c:pt>
                <c:pt idx="47">
                  <c:v>0.85927831307427904</c:v>
                </c:pt>
                <c:pt idx="48">
                  <c:v>0.86563710716773001</c:v>
                </c:pt>
                <c:pt idx="49">
                  <c:v>0.87186897880539505</c:v>
                </c:pt>
                <c:pt idx="50">
                  <c:v>0.87806647060249199</c:v>
                </c:pt>
                <c:pt idx="51">
                  <c:v>0.88423036164373403</c:v>
                </c:pt>
                <c:pt idx="52">
                  <c:v>0.89033849013121102</c:v>
                </c:pt>
                <c:pt idx="53">
                  <c:v>0.89636869426700905</c:v>
                </c:pt>
                <c:pt idx="54">
                  <c:v>0.90229881225321695</c:v>
                </c:pt>
                <c:pt idx="55">
                  <c:v>0.90810668229192304</c:v>
                </c:pt>
                <c:pt idx="56">
                  <c:v>0.91377014258521505</c:v>
                </c:pt>
                <c:pt idx="57">
                  <c:v>0.91926703133518095</c:v>
                </c:pt>
                <c:pt idx="58">
                  <c:v>0.92457518674390904</c:v>
                </c:pt>
                <c:pt idx="59">
                  <c:v>0.92967244701348695</c:v>
                </c:pt>
                <c:pt idx="60">
                  <c:v>0.934540688216974</c:v>
                </c:pt>
                <c:pt idx="61">
                  <c:v>0.93917793791130799</c:v>
                </c:pt>
                <c:pt idx="62">
                  <c:v>0.94358626152439895</c:v>
                </c:pt>
                <c:pt idx="63">
                  <c:v>0.94776772448415403</c:v>
                </c:pt>
                <c:pt idx="64">
                  <c:v>0.95172439221848304</c:v>
                </c:pt>
                <c:pt idx="65">
                  <c:v>0.95545833015529502</c:v>
                </c:pt>
                <c:pt idx="66">
                  <c:v>0.95897160372249901</c:v>
                </c:pt>
                <c:pt idx="67">
                  <c:v>0.96226627834800305</c:v>
                </c:pt>
                <c:pt idx="68">
                  <c:v>0.96534441945971705</c:v>
                </c:pt>
                <c:pt idx="69">
                  <c:v>0.96820809248554895</c:v>
                </c:pt>
                <c:pt idx="70">
                  <c:v>0.97086133529647001</c:v>
                </c:pt>
                <c:pt idx="71">
                  <c:v>0.97331607553569499</c:v>
                </c:pt>
                <c:pt idx="72">
                  <c:v>0.97558621328949902</c:v>
                </c:pt>
                <c:pt idx="73">
                  <c:v>0.97768564864415997</c:v>
                </c:pt>
                <c:pt idx="74">
                  <c:v>0.97962828168595295</c:v>
                </c:pt>
                <c:pt idx="75">
                  <c:v>0.98142801250115497</c:v>
                </c:pt>
                <c:pt idx="76">
                  <c:v>0.98309874117604301</c:v>
                </c:pt>
                <c:pt idx="77">
                  <c:v>0.98465436779689197</c:v>
                </c:pt>
                <c:pt idx="78">
                  <c:v>0.98610879244997895</c:v>
                </c:pt>
                <c:pt idx="79">
                  <c:v>0.98747591522157996</c:v>
                </c:pt>
                <c:pt idx="80">
                  <c:v>0.98876734246612397</c:v>
                </c:pt>
                <c:pt idx="81">
                  <c:v>0.98998550561065302</c:v>
                </c:pt>
                <c:pt idx="82">
                  <c:v>0.99113054235036102</c:v>
                </c:pt>
                <c:pt idx="83">
                  <c:v>0.99220259038044001</c:v>
                </c:pt>
                <c:pt idx="84">
                  <c:v>0.993201787396086</c:v>
                </c:pt>
                <c:pt idx="85">
                  <c:v>0.99412827109249202</c:v>
                </c:pt>
                <c:pt idx="86">
                  <c:v>0.99498217916485199</c:v>
                </c:pt>
                <c:pt idx="87">
                  <c:v>0.99576364930836003</c:v>
                </c:pt>
                <c:pt idx="88">
                  <c:v>0.99647281921820996</c:v>
                </c:pt>
                <c:pt idx="89">
                  <c:v>0.99710982658959502</c:v>
                </c:pt>
                <c:pt idx="90">
                  <c:v>0.99767526786408001</c:v>
                </c:pt>
                <c:pt idx="91">
                  <c:v>0.99817157446870497</c:v>
                </c:pt>
                <c:pt idx="92">
                  <c:v>0.99860163657688095</c:v>
                </c:pt>
                <c:pt idx="93">
                  <c:v>0.99896834436201698</c:v>
                </c:pt>
                <c:pt idx="94">
                  <c:v>0.999274587997525</c:v>
                </c:pt>
                <c:pt idx="95">
                  <c:v>0.99952325765681505</c:v>
                </c:pt>
                <c:pt idx="96">
                  <c:v>0.99971724351329705</c:v>
                </c:pt>
                <c:pt idx="97">
                  <c:v>0.99985943574038205</c:v>
                </c:pt>
                <c:pt idx="98">
                  <c:v>0.99995272451147899</c:v>
                </c:pt>
              </c:numCache>
            </c:numRef>
          </c:yVal>
          <c:smooth val="0"/>
          <c:extLst>
            <c:ext xmlns:c16="http://schemas.microsoft.com/office/drawing/2014/chart" uri="{C3380CC4-5D6E-409C-BE32-E72D297353CC}">
              <c16:uniqueId val="{00000000-E8B7-4F8D-87EC-327FD45F1EDE}"/>
            </c:ext>
          </c:extLst>
        </c:ser>
        <c:dLbls>
          <c:showLegendKey val="0"/>
          <c:showVal val="0"/>
          <c:showCatName val="0"/>
          <c:showSerName val="0"/>
          <c:showPercent val="0"/>
          <c:showBubbleSize val="0"/>
        </c:dLbls>
        <c:axId val="1791911728"/>
        <c:axId val="1791910480"/>
      </c:scatterChart>
      <c:valAx>
        <c:axId val="1791911728"/>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1910480"/>
        <c:crosses val="autoZero"/>
        <c:crossBetween val="midCat"/>
      </c:valAx>
      <c:valAx>
        <c:axId val="1791910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191172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'Carcass density'!$C$20</c:f>
              <c:strCache>
                <c:ptCount val="1"/>
                <c:pt idx="0">
                  <c:v>Cumulative.Bat.density</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'Carcass density'!$B$21:$B$120</c:f>
              <c:numCache>
                <c:formatCode>General</c:formatCode>
                <c:ptCount val="100"/>
                <c:pt idx="0">
                  <c:v>1</c:v>
                </c:pt>
                <c:pt idx="1">
                  <c:v>2</c:v>
                </c:pt>
                <c:pt idx="2">
                  <c:v>3</c:v>
                </c:pt>
                <c:pt idx="3">
                  <c:v>4</c:v>
                </c:pt>
                <c:pt idx="4">
                  <c:v>5</c:v>
                </c:pt>
                <c:pt idx="5">
                  <c:v>6</c:v>
                </c:pt>
                <c:pt idx="6">
                  <c:v>7</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49</c:v>
                </c:pt>
                <c:pt idx="53">
                  <c:v>50</c:v>
                </c:pt>
                <c:pt idx="54">
                  <c:v>51</c:v>
                </c:pt>
                <c:pt idx="55">
                  <c:v>52</c:v>
                </c:pt>
                <c:pt idx="56">
                  <c:v>53</c:v>
                </c:pt>
                <c:pt idx="57">
                  <c:v>54</c:v>
                </c:pt>
                <c:pt idx="58">
                  <c:v>55</c:v>
                </c:pt>
                <c:pt idx="59">
                  <c:v>56</c:v>
                </c:pt>
                <c:pt idx="60">
                  <c:v>57</c:v>
                </c:pt>
                <c:pt idx="61">
                  <c:v>58</c:v>
                </c:pt>
                <c:pt idx="62">
                  <c:v>59</c:v>
                </c:pt>
                <c:pt idx="63">
                  <c:v>60</c:v>
                </c:pt>
                <c:pt idx="64">
                  <c:v>61</c:v>
                </c:pt>
                <c:pt idx="65">
                  <c:v>62</c:v>
                </c:pt>
                <c:pt idx="66">
                  <c:v>63</c:v>
                </c:pt>
                <c:pt idx="67">
                  <c:v>63</c:v>
                </c:pt>
                <c:pt idx="68">
                  <c:v>64</c:v>
                </c:pt>
                <c:pt idx="69">
                  <c:v>65</c:v>
                </c:pt>
                <c:pt idx="70">
                  <c:v>66</c:v>
                </c:pt>
                <c:pt idx="71">
                  <c:v>67</c:v>
                </c:pt>
                <c:pt idx="72">
                  <c:v>68</c:v>
                </c:pt>
                <c:pt idx="73">
                  <c:v>69</c:v>
                </c:pt>
                <c:pt idx="74">
                  <c:v>70</c:v>
                </c:pt>
                <c:pt idx="75">
                  <c:v>71</c:v>
                </c:pt>
                <c:pt idx="76">
                  <c:v>72</c:v>
                </c:pt>
                <c:pt idx="77">
                  <c:v>73</c:v>
                </c:pt>
                <c:pt idx="78">
                  <c:v>74</c:v>
                </c:pt>
                <c:pt idx="79">
                  <c:v>75</c:v>
                </c:pt>
                <c:pt idx="80">
                  <c:v>76</c:v>
                </c:pt>
                <c:pt idx="81">
                  <c:v>77</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91</c:v>
                </c:pt>
                <c:pt idx="98">
                  <c:v>92</c:v>
                </c:pt>
                <c:pt idx="99">
                  <c:v>93</c:v>
                </c:pt>
              </c:numCache>
            </c:numRef>
          </c:xVal>
          <c:yVal>
            <c:numRef>
              <c:f>'Carcass density'!$C$21:$C$120</c:f>
              <c:numCache>
                <c:formatCode>General</c:formatCode>
                <c:ptCount val="100"/>
                <c:pt idx="0">
                  <c:v>4.7299381726006298E-2</c:v>
                </c:pt>
                <c:pt idx="1">
                  <c:v>9.1396717159656596E-2</c:v>
                </c:pt>
                <c:pt idx="2">
                  <c:v>0.13244133192715499</c:v>
                </c:pt>
                <c:pt idx="3">
                  <c:v>0.17058255165470701</c:v>
                </c:pt>
                <c:pt idx="4">
                  <c:v>0.205969701968515</c:v>
                </c:pt>
                <c:pt idx="5">
                  <c:v>0.23875210849478401</c:v>
                </c:pt>
                <c:pt idx="6">
                  <c:v>0.26907909685971798</c:v>
                </c:pt>
                <c:pt idx="7">
                  <c:v>0.29709999268952197</c:v>
                </c:pt>
                <c:pt idx="8">
                  <c:v>0.322964121610399</c:v>
                </c:pt>
                <c:pt idx="9">
                  <c:v>0.34682080924855502</c:v>
                </c:pt>
                <c:pt idx="10">
                  <c:v>0.36882214847985201</c:v>
                </c:pt>
                <c:pt idx="11">
                  <c:v>0.38913130117879302</c:v>
                </c:pt>
                <c:pt idx="12">
                  <c:v>0.40791419646953803</c:v>
                </c:pt>
                <c:pt idx="13">
                  <c:v>0.42533676347624899</c:v>
                </c:pt>
                <c:pt idx="14">
                  <c:v>0.441564931323086</c:v>
                </c:pt>
                <c:pt idx="15">
                  <c:v>0.45676462913421201</c:v>
                </c:pt>
                <c:pt idx="16">
                  <c:v>0.471101786033787</c:v>
                </c:pt>
                <c:pt idx="17">
                  <c:v>0.48474233114597198</c:v>
                </c:pt>
                <c:pt idx="18">
                  <c:v>0.49785219359492799</c:v>
                </c:pt>
                <c:pt idx="19">
                  <c:v>0.51059730250481705</c:v>
                </c:pt>
                <c:pt idx="20">
                  <c:v>0.52312975075150203</c:v>
                </c:pt>
                <c:pt idx="21">
                  <c:v>0.53554628621765799</c:v>
                </c:pt>
                <c:pt idx="22">
                  <c:v>0.54792982053766004</c:v>
                </c:pt>
                <c:pt idx="23">
                  <c:v>0.56036326534588599</c:v>
                </c:pt>
                <c:pt idx="24">
                  <c:v>0.57292953227671195</c:v>
                </c:pt>
                <c:pt idx="25">
                  <c:v>0.58571153296451495</c:v>
                </c:pt>
                <c:pt idx="26">
                  <c:v>0.59879217904367099</c:v>
                </c:pt>
                <c:pt idx="27">
                  <c:v>0.61225438214855699</c:v>
                </c:pt>
                <c:pt idx="28">
                  <c:v>0.62618105391354895</c:v>
                </c:pt>
                <c:pt idx="29">
                  <c:v>0.640655105973025</c:v>
                </c:pt>
                <c:pt idx="30">
                  <c:v>0.65571568859121099</c:v>
                </c:pt>
                <c:pt idx="31">
                  <c:v>0.671226906551733</c:v>
                </c:pt>
                <c:pt idx="32">
                  <c:v>0.68700910326806897</c:v>
                </c:pt>
                <c:pt idx="33">
                  <c:v>0.70288262215369501</c:v>
                </c:pt>
                <c:pt idx="34">
                  <c:v>0.71866780662208896</c:v>
                </c:pt>
                <c:pt idx="35">
                  <c:v>0.73418500008672805</c:v>
                </c:pt>
                <c:pt idx="36">
                  <c:v>0.74925454596108698</c:v>
                </c:pt>
                <c:pt idx="37">
                  <c:v>0.76369678765864601</c:v>
                </c:pt>
                <c:pt idx="38">
                  <c:v>0.77733206859287896</c:v>
                </c:pt>
                <c:pt idx="39">
                  <c:v>0.78998073217726394</c:v>
                </c:pt>
                <c:pt idx="40">
                  <c:v>0.80151231183933902</c:v>
                </c:pt>
                <c:pt idx="41">
                  <c:v>0.81199310106288602</c:v>
                </c:pt>
                <c:pt idx="42">
                  <c:v>0.82153858334574803</c:v>
                </c:pt>
                <c:pt idx="43">
                  <c:v>0.830264242185768</c:v>
                </c:pt>
                <c:pt idx="44">
                  <c:v>0.838285561080788</c:v>
                </c:pt>
                <c:pt idx="45">
                  <c:v>0.845718023528651</c:v>
                </c:pt>
                <c:pt idx="46">
                  <c:v>0.85267711302720095</c:v>
                </c:pt>
                <c:pt idx="47">
                  <c:v>0.85927831307427904</c:v>
                </c:pt>
                <c:pt idx="48">
                  <c:v>0.86563710716773001</c:v>
                </c:pt>
                <c:pt idx="49">
                  <c:v>0.87186897880539505</c:v>
                </c:pt>
                <c:pt idx="50">
                  <c:v>0.87806647060249199</c:v>
                </c:pt>
                <c:pt idx="51">
                  <c:v>0.88423036164373403</c:v>
                </c:pt>
                <c:pt idx="52">
                  <c:v>0.89033849013121102</c:v>
                </c:pt>
                <c:pt idx="53">
                  <c:v>0.89636869426700905</c:v>
                </c:pt>
                <c:pt idx="54">
                  <c:v>0.90229881225321695</c:v>
                </c:pt>
                <c:pt idx="55">
                  <c:v>0.90810668229192304</c:v>
                </c:pt>
                <c:pt idx="56">
                  <c:v>0.91377014258521505</c:v>
                </c:pt>
                <c:pt idx="57">
                  <c:v>0.91926703133518095</c:v>
                </c:pt>
                <c:pt idx="58">
                  <c:v>0.92457518674390904</c:v>
                </c:pt>
                <c:pt idx="59">
                  <c:v>0.92967244701348695</c:v>
                </c:pt>
                <c:pt idx="60">
                  <c:v>0.934540688216974</c:v>
                </c:pt>
                <c:pt idx="61">
                  <c:v>0.93917793791130799</c:v>
                </c:pt>
                <c:pt idx="62">
                  <c:v>0.94358626152439895</c:v>
                </c:pt>
                <c:pt idx="63">
                  <c:v>0.94776772448415403</c:v>
                </c:pt>
                <c:pt idx="64">
                  <c:v>0.95172439221848304</c:v>
                </c:pt>
                <c:pt idx="65">
                  <c:v>0.95545833015529502</c:v>
                </c:pt>
                <c:pt idx="66">
                  <c:v>0.95897160372249901</c:v>
                </c:pt>
                <c:pt idx="67">
                  <c:v>0.96226627834800305</c:v>
                </c:pt>
                <c:pt idx="68">
                  <c:v>0.96534441945971705</c:v>
                </c:pt>
                <c:pt idx="69">
                  <c:v>0.96820809248554895</c:v>
                </c:pt>
                <c:pt idx="70">
                  <c:v>0.97086133529647001</c:v>
                </c:pt>
                <c:pt idx="71">
                  <c:v>0.97331607553569499</c:v>
                </c:pt>
                <c:pt idx="72">
                  <c:v>0.97558621328949902</c:v>
                </c:pt>
                <c:pt idx="73">
                  <c:v>0.97768564864415997</c:v>
                </c:pt>
                <c:pt idx="74">
                  <c:v>0.97962828168595295</c:v>
                </c:pt>
                <c:pt idx="75">
                  <c:v>0.98142801250115497</c:v>
                </c:pt>
                <c:pt idx="76">
                  <c:v>0.98309874117604301</c:v>
                </c:pt>
                <c:pt idx="77">
                  <c:v>0.98465436779689197</c:v>
                </c:pt>
                <c:pt idx="78">
                  <c:v>0.98610879244997895</c:v>
                </c:pt>
                <c:pt idx="79">
                  <c:v>0.98747591522157996</c:v>
                </c:pt>
                <c:pt idx="80">
                  <c:v>0.98876734246612397</c:v>
                </c:pt>
                <c:pt idx="81">
                  <c:v>0.98998550561065302</c:v>
                </c:pt>
                <c:pt idx="82">
                  <c:v>0.99113054235036102</c:v>
                </c:pt>
                <c:pt idx="83">
                  <c:v>0.99220259038044001</c:v>
                </c:pt>
                <c:pt idx="84">
                  <c:v>0.993201787396086</c:v>
                </c:pt>
                <c:pt idx="85">
                  <c:v>0.99412827109249202</c:v>
                </c:pt>
                <c:pt idx="86">
                  <c:v>0.99498217916485199</c:v>
                </c:pt>
                <c:pt idx="87">
                  <c:v>0.99576364930836003</c:v>
                </c:pt>
                <c:pt idx="88">
                  <c:v>0.99647281921820996</c:v>
                </c:pt>
                <c:pt idx="89">
                  <c:v>0.99710982658959502</c:v>
                </c:pt>
                <c:pt idx="90">
                  <c:v>0.99767526786408001</c:v>
                </c:pt>
                <c:pt idx="91">
                  <c:v>0.99817157446870497</c:v>
                </c:pt>
                <c:pt idx="92">
                  <c:v>0.99860163657688095</c:v>
                </c:pt>
                <c:pt idx="93">
                  <c:v>0.99896834436201698</c:v>
                </c:pt>
                <c:pt idx="94">
                  <c:v>0.999274587997525</c:v>
                </c:pt>
                <c:pt idx="95">
                  <c:v>0.99952325765681505</c:v>
                </c:pt>
                <c:pt idx="96">
                  <c:v>0.99971724351329705</c:v>
                </c:pt>
                <c:pt idx="97">
                  <c:v>0.99985943574038205</c:v>
                </c:pt>
                <c:pt idx="98">
                  <c:v>0.99995272451147899</c:v>
                </c:pt>
                <c:pt idx="99">
                  <c:v>1</c:v>
                </c:pt>
              </c:numCache>
            </c:numRef>
          </c:yVal>
          <c:smooth val="0"/>
          <c:extLst>
            <c:ext xmlns:c16="http://schemas.microsoft.com/office/drawing/2014/chart" uri="{C3380CC4-5D6E-409C-BE32-E72D297353CC}">
              <c16:uniqueId val="{00000000-246B-47DD-9B6A-7F43996E7308}"/>
            </c:ext>
          </c:extLst>
        </c:ser>
        <c:ser>
          <c:idx val="1"/>
          <c:order val="1"/>
          <c:tx>
            <c:strRef>
              <c:f>'Carcass density'!$D$20</c:f>
              <c:strCache>
                <c:ptCount val="1"/>
                <c:pt idx="0">
                  <c:v>Cumulative.Small birds.density</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'Carcass density'!$B$21:$B$120</c:f>
              <c:numCache>
                <c:formatCode>General</c:formatCode>
                <c:ptCount val="100"/>
                <c:pt idx="0">
                  <c:v>1</c:v>
                </c:pt>
                <c:pt idx="1">
                  <c:v>2</c:v>
                </c:pt>
                <c:pt idx="2">
                  <c:v>3</c:v>
                </c:pt>
                <c:pt idx="3">
                  <c:v>4</c:v>
                </c:pt>
                <c:pt idx="4">
                  <c:v>5</c:v>
                </c:pt>
                <c:pt idx="5">
                  <c:v>6</c:v>
                </c:pt>
                <c:pt idx="6">
                  <c:v>7</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49</c:v>
                </c:pt>
                <c:pt idx="53">
                  <c:v>50</c:v>
                </c:pt>
                <c:pt idx="54">
                  <c:v>51</c:v>
                </c:pt>
                <c:pt idx="55">
                  <c:v>52</c:v>
                </c:pt>
                <c:pt idx="56">
                  <c:v>53</c:v>
                </c:pt>
                <c:pt idx="57">
                  <c:v>54</c:v>
                </c:pt>
                <c:pt idx="58">
                  <c:v>55</c:v>
                </c:pt>
                <c:pt idx="59">
                  <c:v>56</c:v>
                </c:pt>
                <c:pt idx="60">
                  <c:v>57</c:v>
                </c:pt>
                <c:pt idx="61">
                  <c:v>58</c:v>
                </c:pt>
                <c:pt idx="62">
                  <c:v>59</c:v>
                </c:pt>
                <c:pt idx="63">
                  <c:v>60</c:v>
                </c:pt>
                <c:pt idx="64">
                  <c:v>61</c:v>
                </c:pt>
                <c:pt idx="65">
                  <c:v>62</c:v>
                </c:pt>
                <c:pt idx="66">
                  <c:v>63</c:v>
                </c:pt>
                <c:pt idx="67">
                  <c:v>63</c:v>
                </c:pt>
                <c:pt idx="68">
                  <c:v>64</c:v>
                </c:pt>
                <c:pt idx="69">
                  <c:v>65</c:v>
                </c:pt>
                <c:pt idx="70">
                  <c:v>66</c:v>
                </c:pt>
                <c:pt idx="71">
                  <c:v>67</c:v>
                </c:pt>
                <c:pt idx="72">
                  <c:v>68</c:v>
                </c:pt>
                <c:pt idx="73">
                  <c:v>69</c:v>
                </c:pt>
                <c:pt idx="74">
                  <c:v>70</c:v>
                </c:pt>
                <c:pt idx="75">
                  <c:v>71</c:v>
                </c:pt>
                <c:pt idx="76">
                  <c:v>72</c:v>
                </c:pt>
                <c:pt idx="77">
                  <c:v>73</c:v>
                </c:pt>
                <c:pt idx="78">
                  <c:v>74</c:v>
                </c:pt>
                <c:pt idx="79">
                  <c:v>75</c:v>
                </c:pt>
                <c:pt idx="80">
                  <c:v>76</c:v>
                </c:pt>
                <c:pt idx="81">
                  <c:v>77</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91</c:v>
                </c:pt>
                <c:pt idx="98">
                  <c:v>92</c:v>
                </c:pt>
                <c:pt idx="99">
                  <c:v>93</c:v>
                </c:pt>
              </c:numCache>
            </c:numRef>
          </c:xVal>
          <c:yVal>
            <c:numRef>
              <c:f>'Carcass density'!$D$21:$D$120</c:f>
              <c:numCache>
                <c:formatCode>General</c:formatCode>
                <c:ptCount val="100"/>
                <c:pt idx="0">
                  <c:v>1.2936493126957001E-2</c:v>
                </c:pt>
                <c:pt idx="1">
                  <c:v>2.54066770710593E-2</c:v>
                </c:pt>
                <c:pt idx="2">
                  <c:v>3.7423458008096502E-2</c:v>
                </c:pt>
                <c:pt idx="3">
                  <c:v>4.8999742113857998E-2</c:v>
                </c:pt>
                <c:pt idx="4">
                  <c:v>6.0148435564133303E-2</c:v>
                </c:pt>
                <c:pt idx="5">
                  <c:v>7.0882444534712E-2</c:v>
                </c:pt>
                <c:pt idx="6">
                  <c:v>8.1214675201383396E-2</c:v>
                </c:pt>
                <c:pt idx="7">
                  <c:v>9.1158033739937194E-2</c:v>
                </c:pt>
                <c:pt idx="8">
                  <c:v>0.10072542632616301</c:v>
                </c:pt>
                <c:pt idx="9">
                  <c:v>0.109929759135849</c:v>
                </c:pt>
                <c:pt idx="10">
                  <c:v>0.118783938344787</c:v>
                </c:pt>
                <c:pt idx="11">
                  <c:v>0.12730087012876501</c:v>
                </c:pt>
                <c:pt idx="12">
                  <c:v>0.13549346066357201</c:v>
                </c:pt>
                <c:pt idx="13">
                  <c:v>0.14337461612499899</c:v>
                </c:pt>
                <c:pt idx="14">
                  <c:v>0.15095724268883501</c:v>
                </c:pt>
                <c:pt idx="15">
                  <c:v>0.158254246530868</c:v>
                </c:pt>
                <c:pt idx="16">
                  <c:v>0.16527853382689001</c:v>
                </c:pt>
                <c:pt idx="17">
                  <c:v>0.17204301075268799</c:v>
                </c:pt>
                <c:pt idx="18">
                  <c:v>0.17856047233825501</c:v>
                </c:pt>
                <c:pt idx="19">
                  <c:v>0.184843269030391</c:v>
                </c:pt>
                <c:pt idx="20">
                  <c:v>0.190903640130096</c:v>
                </c:pt>
                <c:pt idx="21">
                  <c:v>0.19675382493837201</c:v>
                </c:pt>
                <c:pt idx="22">
                  <c:v>0.202406062756221</c:v>
                </c:pt>
                <c:pt idx="23">
                  <c:v>0.20787259288464399</c:v>
                </c:pt>
                <c:pt idx="24">
                  <c:v>0.21316565462464299</c:v>
                </c:pt>
                <c:pt idx="25">
                  <c:v>0.21829748727721901</c:v>
                </c:pt>
                <c:pt idx="26">
                  <c:v>0.22328033014337401</c:v>
                </c:pt>
                <c:pt idx="27">
                  <c:v>0.228126422524108</c:v>
                </c:pt>
                <c:pt idx="28">
                  <c:v>0.232848003720425</c:v>
                </c:pt>
                <c:pt idx="29">
                  <c:v>0.23745731303332501</c:v>
                </c:pt>
                <c:pt idx="30">
                  <c:v>0.241966589763809</c:v>
                </c:pt>
                <c:pt idx="31">
                  <c:v>0.24638807321288</c:v>
                </c:pt>
                <c:pt idx="32">
                  <c:v>0.250734002681538</c:v>
                </c:pt>
                <c:pt idx="33">
                  <c:v>0.25501661747078502</c:v>
                </c:pt>
                <c:pt idx="34">
                  <c:v>0.259248156881623</c:v>
                </c:pt>
                <c:pt idx="35">
                  <c:v>0.26344086021505397</c:v>
                </c:pt>
                <c:pt idx="36">
                  <c:v>0.26760752250106801</c:v>
                </c:pt>
                <c:pt idx="37">
                  <c:v>0.27176316168561698</c:v>
                </c:pt>
                <c:pt idx="38">
                  <c:v>0.27592335144364299</c:v>
                </c:pt>
                <c:pt idx="39">
                  <c:v>0.28010366545008603</c:v>
                </c:pt>
                <c:pt idx="40">
                  <c:v>0.28431967737989</c:v>
                </c:pt>
                <c:pt idx="41">
                  <c:v>0.28858696090799402</c:v>
                </c:pt>
                <c:pt idx="42">
                  <c:v>0.29292108970934</c:v>
                </c:pt>
                <c:pt idx="43">
                  <c:v>0.29733763745886999</c:v>
                </c:pt>
                <c:pt idx="44">
                  <c:v>0.30185217783152601</c:v>
                </c:pt>
                <c:pt idx="45">
                  <c:v>0.30648028450224801</c:v>
                </c:pt>
                <c:pt idx="46">
                  <c:v>0.31123753114597802</c:v>
                </c:pt>
                <c:pt idx="47">
                  <c:v>0.31613949143765802</c:v>
                </c:pt>
                <c:pt idx="48">
                  <c:v>0.32120173905222899</c:v>
                </c:pt>
                <c:pt idx="49">
                  <c:v>0.32643984766463202</c:v>
                </c:pt>
                <c:pt idx="50">
                  <c:v>0.331869390949809</c:v>
                </c:pt>
                <c:pt idx="51">
                  <c:v>0.337505942582701</c:v>
                </c:pt>
                <c:pt idx="52">
                  <c:v>0.34336507623825002</c:v>
                </c:pt>
                <c:pt idx="53">
                  <c:v>0.34946236559139798</c:v>
                </c:pt>
                <c:pt idx="54">
                  <c:v>0.35580666319842702</c:v>
                </c:pt>
                <c:pt idx="55">
                  <c:v>0.36237993714098699</c:v>
                </c:pt>
                <c:pt idx="56">
                  <c:v>0.36915743438207199</c:v>
                </c:pt>
                <c:pt idx="57">
                  <c:v>0.37611440188467299</c:v>
                </c:pt>
                <c:pt idx="58">
                  <c:v>0.38322608661178198</c:v>
                </c:pt>
                <c:pt idx="59">
                  <c:v>0.39046773552639202</c:v>
                </c:pt>
                <c:pt idx="60">
                  <c:v>0.39781459559149501</c:v>
                </c:pt>
                <c:pt idx="61">
                  <c:v>0.40524191377008201</c:v>
                </c:pt>
                <c:pt idx="62">
                  <c:v>0.41272493702514701</c:v>
                </c:pt>
                <c:pt idx="63">
                  <c:v>0.42023891231968102</c:v>
                </c:pt>
                <c:pt idx="64">
                  <c:v>0.427759086616677</c:v>
                </c:pt>
                <c:pt idx="65">
                  <c:v>0.43526070687912599</c:v>
                </c:pt>
                <c:pt idx="66">
                  <c:v>0.44271902007002201</c:v>
                </c:pt>
                <c:pt idx="67">
                  <c:v>0.45010927315235499</c:v>
                </c:pt>
                <c:pt idx="68">
                  <c:v>0.45740671308911901</c:v>
                </c:pt>
                <c:pt idx="69">
                  <c:v>0.464586586843305</c:v>
                </c:pt>
                <c:pt idx="70">
                  <c:v>0.47162414137790598</c:v>
                </c:pt>
                <c:pt idx="71">
                  <c:v>0.478494623655914</c:v>
                </c:pt>
                <c:pt idx="72">
                  <c:v>0.48517932825257998</c:v>
                </c:pt>
                <c:pt idx="73">
                  <c:v>0.49168374019219402</c:v>
                </c:pt>
                <c:pt idx="74">
                  <c:v>0.49801939211130303</c:v>
                </c:pt>
                <c:pt idx="75">
                  <c:v>0.50419781664645702</c:v>
                </c:pt>
                <c:pt idx="76">
                  <c:v>0.51023054643420296</c:v>
                </c:pt>
                <c:pt idx="77">
                  <c:v>0.51612911411108997</c:v>
                </c:pt>
                <c:pt idx="78">
                  <c:v>0.52190505231366602</c:v>
                </c:pt>
                <c:pt idx="79">
                  <c:v>0.52756989367847995</c:v>
                </c:pt>
                <c:pt idx="80">
                  <c:v>0.53313517084207995</c:v>
                </c:pt>
                <c:pt idx="81">
                  <c:v>0.53861241644101399</c:v>
                </c:pt>
                <c:pt idx="82">
                  <c:v>0.54401316311183001</c:v>
                </c:pt>
                <c:pt idx="83">
                  <c:v>0.54934894349107799</c:v>
                </c:pt>
                <c:pt idx="84">
                  <c:v>0.554631290215305</c:v>
                </c:pt>
                <c:pt idx="85">
                  <c:v>0.55987173592105899</c:v>
                </c:pt>
                <c:pt idx="86">
                  <c:v>0.56508181324489004</c:v>
                </c:pt>
                <c:pt idx="87">
                  <c:v>0.570273054823345</c:v>
                </c:pt>
                <c:pt idx="88">
                  <c:v>0.57545699329297295</c:v>
                </c:pt>
                <c:pt idx="89">
                  <c:v>0.58064516129032295</c:v>
                </c:pt>
                <c:pt idx="90">
                  <c:v>0.58584729390644896</c:v>
                </c:pt>
                <c:pt idx="91">
                  <c:v>0.591065936050442</c:v>
                </c:pt>
                <c:pt idx="92">
                  <c:v>0.59630183508589696</c:v>
                </c:pt>
                <c:pt idx="93">
                  <c:v>0.60155573837640997</c:v>
                </c:pt>
                <c:pt idx="94">
                  <c:v>0.60682839328557803</c:v>
                </c:pt>
                <c:pt idx="95">
                  <c:v>0.61212054717699804</c:v>
                </c:pt>
                <c:pt idx="96">
                  <c:v>0.61743294741426502</c:v>
                </c:pt>
                <c:pt idx="97">
                  <c:v>0.62276634136097697</c:v>
                </c:pt>
                <c:pt idx="98">
                  <c:v>0.62812147638072802</c:v>
                </c:pt>
                <c:pt idx="99">
                  <c:v>0.63349909983711705</c:v>
                </c:pt>
              </c:numCache>
            </c:numRef>
          </c:yVal>
          <c:smooth val="0"/>
          <c:extLst>
            <c:ext xmlns:c16="http://schemas.microsoft.com/office/drawing/2014/chart" uri="{C3380CC4-5D6E-409C-BE32-E72D297353CC}">
              <c16:uniqueId val="{00000001-246B-47DD-9B6A-7F43996E7308}"/>
            </c:ext>
          </c:extLst>
        </c:ser>
        <c:ser>
          <c:idx val="2"/>
          <c:order val="2"/>
          <c:tx>
            <c:strRef>
              <c:f>'Carcass density'!$E$20</c:f>
              <c:strCache>
                <c:ptCount val="1"/>
                <c:pt idx="0">
                  <c:v>Cumulative.Medium bird.density</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'Carcass density'!$B$21:$B$120</c:f>
              <c:numCache>
                <c:formatCode>General</c:formatCode>
                <c:ptCount val="100"/>
                <c:pt idx="0">
                  <c:v>1</c:v>
                </c:pt>
                <c:pt idx="1">
                  <c:v>2</c:v>
                </c:pt>
                <c:pt idx="2">
                  <c:v>3</c:v>
                </c:pt>
                <c:pt idx="3">
                  <c:v>4</c:v>
                </c:pt>
                <c:pt idx="4">
                  <c:v>5</c:v>
                </c:pt>
                <c:pt idx="5">
                  <c:v>6</c:v>
                </c:pt>
                <c:pt idx="6">
                  <c:v>7</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49</c:v>
                </c:pt>
                <c:pt idx="53">
                  <c:v>50</c:v>
                </c:pt>
                <c:pt idx="54">
                  <c:v>51</c:v>
                </c:pt>
                <c:pt idx="55">
                  <c:v>52</c:v>
                </c:pt>
                <c:pt idx="56">
                  <c:v>53</c:v>
                </c:pt>
                <c:pt idx="57">
                  <c:v>54</c:v>
                </c:pt>
                <c:pt idx="58">
                  <c:v>55</c:v>
                </c:pt>
                <c:pt idx="59">
                  <c:v>56</c:v>
                </c:pt>
                <c:pt idx="60">
                  <c:v>57</c:v>
                </c:pt>
                <c:pt idx="61">
                  <c:v>58</c:v>
                </c:pt>
                <c:pt idx="62">
                  <c:v>59</c:v>
                </c:pt>
                <c:pt idx="63">
                  <c:v>60</c:v>
                </c:pt>
                <c:pt idx="64">
                  <c:v>61</c:v>
                </c:pt>
                <c:pt idx="65">
                  <c:v>62</c:v>
                </c:pt>
                <c:pt idx="66">
                  <c:v>63</c:v>
                </c:pt>
                <c:pt idx="67">
                  <c:v>63</c:v>
                </c:pt>
                <c:pt idx="68">
                  <c:v>64</c:v>
                </c:pt>
                <c:pt idx="69">
                  <c:v>65</c:v>
                </c:pt>
                <c:pt idx="70">
                  <c:v>66</c:v>
                </c:pt>
                <c:pt idx="71">
                  <c:v>67</c:v>
                </c:pt>
                <c:pt idx="72">
                  <c:v>68</c:v>
                </c:pt>
                <c:pt idx="73">
                  <c:v>69</c:v>
                </c:pt>
                <c:pt idx="74">
                  <c:v>70</c:v>
                </c:pt>
                <c:pt idx="75">
                  <c:v>71</c:v>
                </c:pt>
                <c:pt idx="76">
                  <c:v>72</c:v>
                </c:pt>
                <c:pt idx="77">
                  <c:v>73</c:v>
                </c:pt>
                <c:pt idx="78">
                  <c:v>74</c:v>
                </c:pt>
                <c:pt idx="79">
                  <c:v>75</c:v>
                </c:pt>
                <c:pt idx="80">
                  <c:v>76</c:v>
                </c:pt>
                <c:pt idx="81">
                  <c:v>77</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91</c:v>
                </c:pt>
                <c:pt idx="98">
                  <c:v>92</c:v>
                </c:pt>
                <c:pt idx="99">
                  <c:v>93</c:v>
                </c:pt>
              </c:numCache>
            </c:numRef>
          </c:xVal>
          <c:yVal>
            <c:numRef>
              <c:f>'Carcass density'!$E$21:$E$120</c:f>
              <c:numCache>
                <c:formatCode>General</c:formatCode>
                <c:ptCount val="100"/>
                <c:pt idx="0">
                  <c:v>1.63696971056695E-2</c:v>
                </c:pt>
                <c:pt idx="1">
                  <c:v>3.2221204445153098E-2</c:v>
                </c:pt>
                <c:pt idx="2">
                  <c:v>4.7569174033102998E-2</c:v>
                </c:pt>
                <c:pt idx="3">
                  <c:v>6.2428257884171098E-2</c:v>
                </c:pt>
                <c:pt idx="4">
                  <c:v>7.6813108013009404E-2</c:v>
                </c:pt>
                <c:pt idx="5">
                  <c:v>9.0738376434269893E-2</c:v>
                </c:pt>
                <c:pt idx="6">
                  <c:v>0.104218715162605</c:v>
                </c:pt>
                <c:pt idx="7">
                  <c:v>0.117268776212666</c:v>
                </c:pt>
                <c:pt idx="8">
                  <c:v>0.12990321159910501</c:v>
                </c:pt>
                <c:pt idx="9">
                  <c:v>0.14213667333657501</c:v>
                </c:pt>
                <c:pt idx="10">
                  <c:v>0.153983813439727</c:v>
                </c:pt>
                <c:pt idx="11">
                  <c:v>0.16545928392321299</c:v>
                </c:pt>
                <c:pt idx="12">
                  <c:v>0.17657773680168501</c:v>
                </c:pt>
                <c:pt idx="13">
                  <c:v>0.18735382408979601</c:v>
                </c:pt>
                <c:pt idx="14">
                  <c:v>0.19780219780219799</c:v>
                </c:pt>
                <c:pt idx="15">
                  <c:v>0.20793721670311499</c:v>
                </c:pt>
                <c:pt idx="16">
                  <c:v>0.21777206655506501</c:v>
                </c:pt>
                <c:pt idx="17">
                  <c:v>0.22731963987013901</c:v>
                </c:pt>
                <c:pt idx="18">
                  <c:v>0.23659282916042901</c:v>
                </c:pt>
                <c:pt idx="19">
                  <c:v>0.24560452693802501</c:v>
                </c:pt>
                <c:pt idx="20">
                  <c:v>0.25436762571501698</c:v>
                </c:pt>
                <c:pt idx="21">
                  <c:v>0.26289501800349802</c:v>
                </c:pt>
                <c:pt idx="22">
                  <c:v>0.27119959631555801</c:v>
                </c:pt>
                <c:pt idx="23">
                  <c:v>0.27929425316328799</c:v>
                </c:pt>
                <c:pt idx="24">
                  <c:v>0.28719188105877802</c:v>
                </c:pt>
                <c:pt idx="25">
                  <c:v>0.29490537251412002</c:v>
                </c:pt>
                <c:pt idx="26">
                  <c:v>0.30244762004140502</c:v>
                </c:pt>
                <c:pt idx="27">
                  <c:v>0.30983151615272297</c:v>
                </c:pt>
                <c:pt idx="28">
                  <c:v>0.31706995336016602</c:v>
                </c:pt>
                <c:pt idx="29">
                  <c:v>0.32417582417582402</c:v>
                </c:pt>
                <c:pt idx="30">
                  <c:v>0.33116348736392298</c:v>
                </c:pt>
                <c:pt idx="31">
                  <c:v>0.33805316669722502</c:v>
                </c:pt>
                <c:pt idx="32">
                  <c:v>0.34486655220062501</c:v>
                </c:pt>
                <c:pt idx="33">
                  <c:v>0.35162533389902201</c:v>
                </c:pt>
                <c:pt idx="34">
                  <c:v>0.35835120181730901</c:v>
                </c:pt>
                <c:pt idx="35">
                  <c:v>0.365065845980385</c:v>
                </c:pt>
                <c:pt idx="36">
                  <c:v>0.37179095641314602</c:v>
                </c:pt>
                <c:pt idx="37">
                  <c:v>0.37854822314048697</c:v>
                </c:pt>
                <c:pt idx="38">
                  <c:v>0.385359336187305</c:v>
                </c:pt>
                <c:pt idx="39">
                  <c:v>0.39224598557849699</c:v>
                </c:pt>
                <c:pt idx="40">
                  <c:v>0.39922986133895799</c:v>
                </c:pt>
                <c:pt idx="41">
                  <c:v>0.40633265349358599</c:v>
                </c:pt>
                <c:pt idx="42">
                  <c:v>0.41357605206727599</c:v>
                </c:pt>
                <c:pt idx="43">
                  <c:v>0.42098174708492497</c:v>
                </c:pt>
                <c:pt idx="44">
                  <c:v>0.42857142857142899</c:v>
                </c:pt>
                <c:pt idx="45">
                  <c:v>0.43635795879031802</c:v>
                </c:pt>
                <c:pt idx="46">
                  <c:v>0.44431888895965799</c:v>
                </c:pt>
                <c:pt idx="47">
                  <c:v>0.45242294253615001</c:v>
                </c:pt>
                <c:pt idx="48">
                  <c:v>0.46063884297649299</c:v>
                </c:pt>
                <c:pt idx="49">
                  <c:v>0.46893531373738601</c:v>
                </c:pt>
                <c:pt idx="50">
                  <c:v>0.47728107827552901</c:v>
                </c:pt>
                <c:pt idx="51">
                  <c:v>0.48564486004762197</c:v>
                </c:pt>
                <c:pt idx="52">
                  <c:v>0.49399538251036601</c:v>
                </c:pt>
                <c:pt idx="53">
                  <c:v>0.50230136912045897</c:v>
                </c:pt>
                <c:pt idx="54">
                  <c:v>0.51053154333460204</c:v>
                </c:pt>
                <c:pt idx="55">
                  <c:v>0.51865462860949396</c:v>
                </c:pt>
                <c:pt idx="56">
                  <c:v>0.52663934840183502</c:v>
                </c:pt>
                <c:pt idx="57">
                  <c:v>0.53445442616832395</c:v>
                </c:pt>
                <c:pt idx="58">
                  <c:v>0.54206858536566305</c:v>
                </c:pt>
                <c:pt idx="59">
                  <c:v>0.54945054945054905</c:v>
                </c:pt>
                <c:pt idx="60">
                  <c:v>0.55657846664859401</c:v>
                </c:pt>
                <c:pt idx="61">
                  <c:v>0.56346818426104806</c:v>
                </c:pt>
                <c:pt idx="62">
                  <c:v>0.57014497435807099</c:v>
                </c:pt>
                <c:pt idx="63">
                  <c:v>0.57663410900982304</c:v>
                </c:pt>
                <c:pt idx="64">
                  <c:v>0.58296086028646599</c:v>
                </c:pt>
                <c:pt idx="65">
                  <c:v>0.58915050025815796</c:v>
                </c:pt>
                <c:pt idx="66">
                  <c:v>0.59522830099506197</c:v>
                </c:pt>
                <c:pt idx="67">
                  <c:v>0.60121953456733701</c:v>
                </c:pt>
                <c:pt idx="68">
                  <c:v>0.60714947304514399</c:v>
                </c:pt>
                <c:pt idx="69">
                  <c:v>0.61304338849864404</c:v>
                </c:pt>
                <c:pt idx="70">
                  <c:v>0.61892655299799604</c:v>
                </c:pt>
                <c:pt idx="71">
                  <c:v>0.624824238613362</c:v>
                </c:pt>
                <c:pt idx="72">
                  <c:v>0.63076171741490095</c:v>
                </c:pt>
                <c:pt idx="73">
                  <c:v>0.63676426147277498</c:v>
                </c:pt>
                <c:pt idx="74">
                  <c:v>0.64285714285714302</c:v>
                </c:pt>
                <c:pt idx="75">
                  <c:v>0.64905955434668405</c:v>
                </c:pt>
                <c:pt idx="76">
                  <c:v>0.65536637155414601</c:v>
                </c:pt>
                <c:pt idx="77">
                  <c:v>0.66176639080079702</c:v>
                </c:pt>
                <c:pt idx="78">
                  <c:v>0.66824840840790201</c:v>
                </c:pt>
                <c:pt idx="79">
                  <c:v>0.67480122069672799</c:v>
                </c:pt>
                <c:pt idx="80">
                  <c:v>0.681413623988541</c:v>
                </c:pt>
                <c:pt idx="81">
                  <c:v>0.68807441460460705</c:v>
                </c:pt>
                <c:pt idx="82">
                  <c:v>0.69477238886619397</c:v>
                </c:pt>
                <c:pt idx="83">
                  <c:v>0.70149634309456699</c:v>
                </c:pt>
                <c:pt idx="84">
                  <c:v>0.70823507361099303</c:v>
                </c:pt>
                <c:pt idx="85">
                  <c:v>0.714977376736739</c:v>
                </c:pt>
                <c:pt idx="86">
                  <c:v>0.72171204879307005</c:v>
                </c:pt>
                <c:pt idx="87">
                  <c:v>0.72842788610125297</c:v>
                </c:pt>
                <c:pt idx="88">
                  <c:v>0.73511368498255503</c:v>
                </c:pt>
                <c:pt idx="89">
                  <c:v>0.74175824175824201</c:v>
                </c:pt>
                <c:pt idx="90">
                  <c:v>0.74835059313194696</c:v>
                </c:pt>
                <c:pt idx="91">
                  <c:v>0.75488073733677397</c:v>
                </c:pt>
                <c:pt idx="92">
                  <c:v>0.76133891298819201</c:v>
                </c:pt>
                <c:pt idx="93">
                  <c:v>0.76771535870166996</c:v>
                </c:pt>
                <c:pt idx="94">
                  <c:v>0.77400031309268003</c:v>
                </c:pt>
                <c:pt idx="95">
                  <c:v>0.78018401477668997</c:v>
                </c:pt>
                <c:pt idx="96">
                  <c:v>0.78625670236917</c:v>
                </c:pt>
                <c:pt idx="97">
                  <c:v>0.79220861448559099</c:v>
                </c:pt>
                <c:pt idx="98">
                  <c:v>0.79802998974142103</c:v>
                </c:pt>
                <c:pt idx="99">
                  <c:v>0.803711066752132</c:v>
                </c:pt>
              </c:numCache>
            </c:numRef>
          </c:yVal>
          <c:smooth val="0"/>
          <c:extLst>
            <c:ext xmlns:c16="http://schemas.microsoft.com/office/drawing/2014/chart" uri="{C3380CC4-5D6E-409C-BE32-E72D297353CC}">
              <c16:uniqueId val="{00000002-246B-47DD-9B6A-7F43996E7308}"/>
            </c:ext>
          </c:extLst>
        </c:ser>
        <c:ser>
          <c:idx val="3"/>
          <c:order val="3"/>
          <c:tx>
            <c:strRef>
              <c:f>'Carcass density'!$F$20</c:f>
              <c:strCache>
                <c:ptCount val="1"/>
                <c:pt idx="0">
                  <c:v>Cumulative.Large birds.density</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'Carcass density'!$B$21:$B$120</c:f>
              <c:numCache>
                <c:formatCode>General</c:formatCode>
                <c:ptCount val="100"/>
                <c:pt idx="0">
                  <c:v>1</c:v>
                </c:pt>
                <c:pt idx="1">
                  <c:v>2</c:v>
                </c:pt>
                <c:pt idx="2">
                  <c:v>3</c:v>
                </c:pt>
                <c:pt idx="3">
                  <c:v>4</c:v>
                </c:pt>
                <c:pt idx="4">
                  <c:v>5</c:v>
                </c:pt>
                <c:pt idx="5">
                  <c:v>6</c:v>
                </c:pt>
                <c:pt idx="6">
                  <c:v>7</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49</c:v>
                </c:pt>
                <c:pt idx="53">
                  <c:v>50</c:v>
                </c:pt>
                <c:pt idx="54">
                  <c:v>51</c:v>
                </c:pt>
                <c:pt idx="55">
                  <c:v>52</c:v>
                </c:pt>
                <c:pt idx="56">
                  <c:v>53</c:v>
                </c:pt>
                <c:pt idx="57">
                  <c:v>54</c:v>
                </c:pt>
                <c:pt idx="58">
                  <c:v>55</c:v>
                </c:pt>
                <c:pt idx="59">
                  <c:v>56</c:v>
                </c:pt>
                <c:pt idx="60">
                  <c:v>57</c:v>
                </c:pt>
                <c:pt idx="61">
                  <c:v>58</c:v>
                </c:pt>
                <c:pt idx="62">
                  <c:v>59</c:v>
                </c:pt>
                <c:pt idx="63">
                  <c:v>60</c:v>
                </c:pt>
                <c:pt idx="64">
                  <c:v>61</c:v>
                </c:pt>
                <c:pt idx="65">
                  <c:v>62</c:v>
                </c:pt>
                <c:pt idx="66">
                  <c:v>63</c:v>
                </c:pt>
                <c:pt idx="67">
                  <c:v>63</c:v>
                </c:pt>
                <c:pt idx="68">
                  <c:v>64</c:v>
                </c:pt>
                <c:pt idx="69">
                  <c:v>65</c:v>
                </c:pt>
                <c:pt idx="70">
                  <c:v>66</c:v>
                </c:pt>
                <c:pt idx="71">
                  <c:v>67</c:v>
                </c:pt>
                <c:pt idx="72">
                  <c:v>68</c:v>
                </c:pt>
                <c:pt idx="73">
                  <c:v>69</c:v>
                </c:pt>
                <c:pt idx="74">
                  <c:v>70</c:v>
                </c:pt>
                <c:pt idx="75">
                  <c:v>71</c:v>
                </c:pt>
                <c:pt idx="76">
                  <c:v>72</c:v>
                </c:pt>
                <c:pt idx="77">
                  <c:v>73</c:v>
                </c:pt>
                <c:pt idx="78">
                  <c:v>74</c:v>
                </c:pt>
                <c:pt idx="79">
                  <c:v>75</c:v>
                </c:pt>
                <c:pt idx="80">
                  <c:v>76</c:v>
                </c:pt>
                <c:pt idx="81">
                  <c:v>77</c:v>
                </c:pt>
                <c:pt idx="82">
                  <c:v>77</c:v>
                </c:pt>
                <c:pt idx="83">
                  <c:v>78</c:v>
                </c:pt>
                <c:pt idx="84">
                  <c:v>79</c:v>
                </c:pt>
                <c:pt idx="85">
                  <c:v>80</c:v>
                </c:pt>
                <c:pt idx="86">
                  <c:v>81</c:v>
                </c:pt>
                <c:pt idx="87">
                  <c:v>82</c:v>
                </c:pt>
                <c:pt idx="88">
                  <c:v>83</c:v>
                </c:pt>
                <c:pt idx="89">
                  <c:v>84</c:v>
                </c:pt>
                <c:pt idx="90">
                  <c:v>85</c:v>
                </c:pt>
                <c:pt idx="91">
                  <c:v>86</c:v>
                </c:pt>
                <c:pt idx="92">
                  <c:v>87</c:v>
                </c:pt>
                <c:pt idx="93">
                  <c:v>88</c:v>
                </c:pt>
                <c:pt idx="94">
                  <c:v>89</c:v>
                </c:pt>
                <c:pt idx="95">
                  <c:v>90</c:v>
                </c:pt>
                <c:pt idx="96">
                  <c:v>91</c:v>
                </c:pt>
                <c:pt idx="97">
                  <c:v>91</c:v>
                </c:pt>
                <c:pt idx="98">
                  <c:v>92</c:v>
                </c:pt>
                <c:pt idx="99">
                  <c:v>93</c:v>
                </c:pt>
              </c:numCache>
            </c:numRef>
          </c:xVal>
          <c:yVal>
            <c:numRef>
              <c:f>'Carcass density'!$F$21:$F$120</c:f>
              <c:numCache>
                <c:formatCode>0.00E+00</c:formatCode>
                <c:ptCount val="100"/>
                <c:pt idx="0">
                  <c:v>1.5080072513094101E-6</c:v>
                </c:pt>
                <c:pt idx="1">
                  <c:v>1.73274514816854E-5</c:v>
                </c:pt>
                <c:pt idx="2">
                  <c:v>7.2271800376657298E-5</c:v>
                </c:pt>
                <c:pt idx="3" formatCode="General">
                  <c:v>1.9906453212116101E-4</c:v>
                </c:pt>
                <c:pt idx="4" formatCode="General">
                  <c:v>4.3676040435814897E-4</c:v>
                </c:pt>
                <c:pt idx="5" formatCode="General">
                  <c:v>8.2980846943636404E-4</c:v>
                </c:pt>
                <c:pt idx="6" formatCode="General">
                  <c:v>1.4273458850399801E-3</c:v>
                </c:pt>
                <c:pt idx="7" formatCode="General">
                  <c:v>2.2825801469115799E-3</c:v>
                </c:pt>
                <c:pt idx="8" formatCode="General">
                  <c:v>3.4521891140336701E-3</c:v>
                </c:pt>
                <c:pt idx="9" formatCode="General">
                  <c:v>4.9956968253377096E-3</c:v>
                </c:pt>
                <c:pt idx="10" formatCode="General">
                  <c:v>6.9747977000185401E-3</c:v>
                </c:pt>
                <c:pt idx="11" formatCode="General">
                  <c:v>9.4526109484090199E-3</c:v>
                </c:pt>
                <c:pt idx="12" formatCode="General">
                  <c:v>1.24928541547321E-2</c:v>
                </c:pt>
                <c:pt idx="13" formatCode="General">
                  <c:v>1.6158931426781199E-2</c:v>
                </c:pt>
                <c:pt idx="14" formatCode="General">
                  <c:v>2.0512937866735002E-2</c:v>
                </c:pt>
                <c:pt idx="15" formatCode="General">
                  <c:v>2.5614588638346401E-2</c:v>
                </c:pt>
                <c:pt idx="16" formatCode="General">
                  <c:v>3.1520087587288498E-2</c:v>
                </c:pt>
                <c:pt idx="17" formatCode="General">
                  <c:v>3.8280957042048501E-2</c:v>
                </c:pt>
                <c:pt idx="18" formatCode="General">
                  <c:v>4.5942856779826298E-2</c:v>
                </c:pt>
                <c:pt idx="19" formatCode="General">
                  <c:v>5.4544425784712497E-2</c:v>
                </c:pt>
                <c:pt idx="20" formatCode="General">
                  <c:v>6.4116184893091399E-2</c:v>
                </c:pt>
                <c:pt idx="21" formatCode="General">
                  <c:v>7.4679541238932903E-2</c:v>
                </c:pt>
                <c:pt idx="22" formatCode="General">
                  <c:v>8.6245936145317004E-2</c:v>
                </c:pt>
                <c:pt idx="23" formatCode="General">
                  <c:v>9.8816176423684995E-2</c:v>
                </c:pt>
                <c:pt idx="24" formatCode="General">
                  <c:v>0.11237998476073301</c:v>
                </c:pt>
                <c:pt idx="25" formatCode="General">
                  <c:v>0.12691579801897099</c:v>
                </c:pt>
                <c:pt idx="26" formatCode="General">
                  <c:v>0.14239083310523201</c:v>
                </c:pt>
                <c:pt idx="27" formatCode="General">
                  <c:v>0.158761429057998</c:v>
                </c:pt>
                <c:pt idx="28" formatCode="General">
                  <c:v>0.17597366185914801</c:v>
                </c:pt>
                <c:pt idx="29" formatCode="General">
                  <c:v>0.19396421602539701</c:v>
                </c:pt>
                <c:pt idx="30" formatCode="General">
                  <c:v>0.21266148518272601</c:v>
                </c:pt>
                <c:pt idx="31" formatCode="General">
                  <c:v>0.23198686345059599</c:v>
                </c:pt>
                <c:pt idx="32" formatCode="General">
                  <c:v>0.25185618131923398</c:v>
                </c:pt>
                <c:pt idx="33" formatCode="General">
                  <c:v>0.27218123435043701</c:v>
                </c:pt>
                <c:pt idx="34" formatCode="General">
                  <c:v>0.29287135077378601</c:v>
                </c:pt>
                <c:pt idx="35" formatCode="General">
                  <c:v>0.313834944911831</c:v>
                </c:pt>
                <c:pt idx="36" formatCode="General">
                  <c:v>0.33498100711044299</c:v>
                </c:pt>
                <c:pt idx="37" formatCode="General">
                  <c:v>0.356220487011427</c:v>
                </c:pt>
                <c:pt idx="38" formatCode="General">
                  <c:v>0.37746753496206698</c:v>
                </c:pt>
                <c:pt idx="39" formatCode="General">
                  <c:v>0.39864057540718401</c:v>
                </c:pt>
                <c:pt idx="40" formatCode="General">
                  <c:v>0.419663195543995</c:v>
                </c:pt>
                <c:pt idx="41" formatCode="General">
                  <c:v>0.44046484169078998</c:v>
                </c:pt>
                <c:pt idx="42" formatCode="General">
                  <c:v>0.460981324190957</c:v>
                </c:pt>
                <c:pt idx="43" formatCode="General">
                  <c:v>0.48115513884993699</c:v>
                </c:pt>
                <c:pt idx="44" formatCode="General">
                  <c:v>0.50093561864230796</c:v>
                </c:pt>
                <c:pt idx="45" formatCode="General">
                  <c:v>0.52027893363238897</c:v>
                </c:pt>
                <c:pt idx="46" formatCode="General">
                  <c:v>0.53914795975238206</c:v>
                </c:pt>
                <c:pt idx="47" formatCode="General">
                  <c:v>0.55751203840230801</c:v>
                </c:pt>
                <c:pt idx="48" formatCode="General">
                  <c:v>0.57534664896701404</c:v>
                </c:pt>
                <c:pt idx="49" formatCode="General">
                  <c:v>0.59263301551562997</c:v>
                </c:pt>
                <c:pt idx="50" formatCode="General">
                  <c:v>0.60935766739669806</c:v>
                </c:pt>
                <c:pt idx="51" formatCode="General">
                  <c:v>0.62551197139770998</c:v>
                </c:pt>
                <c:pt idx="52" formatCode="General">
                  <c:v>0.64109165080694297</c:v>
                </c:pt>
                <c:pt idx="53" formatCode="General">
                  <c:v>0.65609630427246901</c:v>
                </c:pt>
                <c:pt idx="54" formatCode="General">
                  <c:v>0.67052893493645105</c:v>
                </c:pt>
                <c:pt idx="55" formatCode="General">
                  <c:v>0.68439549803548605</c:v>
                </c:pt>
                <c:pt idx="56" formatCode="General">
                  <c:v>0.69770447306998995</c:v>
                </c:pt>
                <c:pt idx="57" formatCode="General">
                  <c:v>0.71046646479979103</c:v>
                </c:pt>
                <c:pt idx="58" formatCode="General">
                  <c:v>0.72269383573817203</c:v>
                </c:pt>
                <c:pt idx="59" formatCode="General">
                  <c:v>0.73440037149398896</c:v>
                </c:pt>
                <c:pt idx="60" formatCode="General">
                  <c:v>0.74560097923950297</c:v>
                </c:pt>
                <c:pt idx="61" formatCode="General">
                  <c:v>0.75631141874008201</c:v>
                </c:pt>
                <c:pt idx="62" formatCode="General">
                  <c:v>0.76654806474561199</c:v>
                </c:pt>
                <c:pt idx="63" formatCode="General">
                  <c:v>0.77632769908479404</c:v>
                </c:pt>
                <c:pt idx="64" formatCode="General">
                  <c:v>0.78566733049465398</c:v>
                </c:pt>
                <c:pt idx="65" formatCode="General">
                  <c:v>0.794584040032002</c:v>
                </c:pt>
                <c:pt idx="66" formatCode="General">
                  <c:v>0.80309484982689505</c:v>
                </c:pt>
                <c:pt idx="67" formatCode="General">
                  <c:v>0.81121661292855196</c:v>
                </c:pt>
                <c:pt idx="68" formatCode="General">
                  <c:v>0.81896592204292795</c:v>
                </c:pt>
                <c:pt idx="69" formatCode="General">
                  <c:v>0.82635903505228403</c:v>
                </c:pt>
                <c:pt idx="70" formatCode="General">
                  <c:v>0.83341181532741404</c:v>
                </c:pt>
                <c:pt idx="71" formatCode="General">
                  <c:v>0.840139684982118</c:v>
                </c:pt>
                <c:pt idx="72" formatCode="General">
                  <c:v>0.84655758936847303</c:v>
                </c:pt>
                <c:pt idx="73" formatCode="General">
                  <c:v>0.85267997126407302</c:v>
                </c:pt>
                <c:pt idx="74" formatCode="General">
                  <c:v>0.85852075335361999</c:v>
                </c:pt>
                <c:pt idx="75" formatCode="General">
                  <c:v>0.86409332775368597</c:v>
                </c:pt>
                <c:pt idx="76" formatCode="General">
                  <c:v>0.86941055146842205</c:v>
                </c:pt>
                <c:pt idx="77" formatCode="General">
                  <c:v>0.87448474679411603</c:v>
                </c:pt>
                <c:pt idx="78" formatCode="General">
                  <c:v>0.87932770581063702</c:v>
                </c:pt>
                <c:pt idx="79" formatCode="General">
                  <c:v>0.88395069820773298</c:v>
                </c:pt>
                <c:pt idx="80" formatCode="General">
                  <c:v>0.88836448179375904</c:v>
                </c:pt>
                <c:pt idx="81" formatCode="General">
                  <c:v>0.89257931512392497</c:v>
                </c:pt>
                <c:pt idx="82" formatCode="General">
                  <c:v>0.89660497176521103</c:v>
                </c:pt>
                <c:pt idx="83" formatCode="General">
                  <c:v>0.90045075578599598</c:v>
                </c:pt>
                <c:pt idx="84" formatCode="General">
                  <c:v>0.90412551812116504</c:v>
                </c:pt>
                <c:pt idx="85" formatCode="General">
                  <c:v>0.90763767351838698</c:v>
                </c:pt>
                <c:pt idx="86" formatCode="General">
                  <c:v>0.91099521781936399</c:v>
                </c:pt>
                <c:pt idx="87" formatCode="General">
                  <c:v>0.91420574537159005</c:v>
                </c:pt>
                <c:pt idx="88" formatCode="General">
                  <c:v>0.91727646640236404</c:v>
                </c:pt>
                <c:pt idx="89" formatCode="General">
                  <c:v>0.92021422421797905</c:v>
                </c:pt>
                <c:pt idx="90" formatCode="General">
                  <c:v>0.92302551211777295</c:v>
                </c:pt>
                <c:pt idx="91" formatCode="General">
                  <c:v>0.92571648993561995</c:v>
                </c:pt>
                <c:pt idx="92" formatCode="General">
                  <c:v>0.92829300014089</c:v>
                </c:pt>
                <c:pt idx="93" formatCode="General">
                  <c:v>0.93076058344738699</c:v>
                </c:pt>
                <c:pt idx="94" formatCode="General">
                  <c:v>0.93312449389268104</c:v>
                </c:pt>
                <c:pt idx="95" formatCode="General">
                  <c:v>0.93538971336185905</c:v>
                </c:pt>
                <c:pt idx="96" formatCode="General">
                  <c:v>0.93756096553943202</c:v>
                </c:pt>
                <c:pt idx="97" formatCode="General">
                  <c:v>0.939642729281149</c:v>
                </c:pt>
                <c:pt idx="98" formatCode="General">
                  <c:v>0.94163925140405103</c:v>
                </c:pt>
                <c:pt idx="99" formatCode="General">
                  <c:v>0.94355455889844397</c:v>
                </c:pt>
              </c:numCache>
            </c:numRef>
          </c:yVal>
          <c:smooth val="0"/>
          <c:extLst>
            <c:ext xmlns:c16="http://schemas.microsoft.com/office/drawing/2014/chart" uri="{C3380CC4-5D6E-409C-BE32-E72D297353CC}">
              <c16:uniqueId val="{00000003-246B-47DD-9B6A-7F43996E7308}"/>
            </c:ext>
          </c:extLst>
        </c:ser>
        <c:dLbls>
          <c:showLegendKey val="0"/>
          <c:showVal val="0"/>
          <c:showCatName val="0"/>
          <c:showSerName val="0"/>
          <c:showPercent val="0"/>
          <c:showBubbleSize val="0"/>
        </c:dLbls>
        <c:axId val="185406543"/>
        <c:axId val="185404463"/>
      </c:scatterChart>
      <c:valAx>
        <c:axId val="1854065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404463"/>
        <c:crosses val="autoZero"/>
        <c:crossBetween val="midCat"/>
      </c:valAx>
      <c:valAx>
        <c:axId val="1854044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40654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290830</xdr:colOff>
      <xdr:row>0</xdr:row>
      <xdr:rowOff>168910</xdr:rowOff>
    </xdr:from>
    <xdr:to>
      <xdr:col>2</xdr:col>
      <xdr:colOff>508000</xdr:colOff>
      <xdr:row>24</xdr:row>
      <xdr:rowOff>31750</xdr:rowOff>
    </xdr:to>
    <xdr:sp macro="" textlink="">
      <xdr:nvSpPr>
        <xdr:cNvPr id="2" name="TextBox 1">
          <a:extLst>
            <a:ext uri="{FF2B5EF4-FFF2-40B4-BE49-F238E27FC236}">
              <a16:creationId xmlns:a16="http://schemas.microsoft.com/office/drawing/2014/main" id="{9C54AEE7-12DF-94C4-DB17-191B1CBDF6CB}"/>
            </a:ext>
          </a:extLst>
        </xdr:cNvPr>
        <xdr:cNvSpPr txBox="1"/>
      </xdr:nvSpPr>
      <xdr:spPr>
        <a:xfrm>
          <a:off x="290830" y="168910"/>
          <a:ext cx="10713720" cy="4282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sng"/>
            <a:t>Appendix</a:t>
          </a:r>
          <a:r>
            <a:rPr lang="en-GB" sz="1600" b="1" u="sng" baseline="0"/>
            <a:t> A. Decision Support Tool (DST)</a:t>
          </a:r>
        </a:p>
        <a:p>
          <a:endParaRPr lang="en-GB" sz="1600" u="sng" baseline="0"/>
        </a:p>
        <a:p>
          <a:r>
            <a:rPr lang="en-US" sz="1600" b="1" u="sng">
              <a:solidFill>
                <a:schemeClr val="dk1"/>
              </a:solidFill>
              <a:effectLst/>
              <a:latin typeface="+mn-lt"/>
              <a:ea typeface="+mn-ea"/>
              <a:cs typeface="+mn-cs"/>
            </a:rPr>
            <a:t>General</a:t>
          </a:r>
          <a:r>
            <a:rPr lang="en-US" sz="1600" u="sng">
              <a:solidFill>
                <a:schemeClr val="dk1"/>
              </a:solidFill>
              <a:effectLst/>
              <a:latin typeface="+mn-lt"/>
              <a:ea typeface="+mn-ea"/>
              <a:cs typeface="+mn-cs"/>
            </a:rPr>
            <a:t> </a:t>
          </a:r>
          <a:endParaRPr lang="en-GB" sz="1600">
            <a:effectLst/>
          </a:endParaRPr>
        </a:p>
        <a:p>
          <a:endParaRPr lang="en-GB" sz="800" u="none" baseline="0"/>
        </a:p>
        <a:p>
          <a:r>
            <a:rPr lang="en-GB" sz="1100" u="none" baseline="0"/>
            <a:t>*  The user interacts with the tool through the 4 coloured tabs labelled "User Interface.....". </a:t>
          </a:r>
        </a:p>
        <a:p>
          <a:r>
            <a:rPr lang="en-GB" sz="1100" u="none" baseline="0"/>
            <a:t>*  The remaining seven tabs run DST logic and calculations. Users cannot interact with these, but they are visible to allow users to understand the tool’s mechanics.</a:t>
          </a:r>
        </a:p>
        <a:p>
          <a:pPr marL="0" marR="0" lvl="0" indent="0" defTabSz="914400" eaLnBrk="1" fontAlgn="auto" latinLnBrk="0" hangingPunct="1">
            <a:lnSpc>
              <a:spcPct val="100000"/>
            </a:lnSpc>
            <a:spcBef>
              <a:spcPts val="0"/>
            </a:spcBef>
            <a:spcAft>
              <a:spcPts val="0"/>
            </a:spcAft>
            <a:buClrTx/>
            <a:buSzTx/>
            <a:buFontTx/>
            <a:buNone/>
            <a:tabLst/>
            <a:defRPr/>
          </a:pPr>
          <a:r>
            <a:rPr lang="en-GB" sz="1100" u="none" baseline="0"/>
            <a:t>*  </a:t>
          </a:r>
          <a:r>
            <a:rPr lang="en-GB" sz="1100" b="0" i="0">
              <a:solidFill>
                <a:schemeClr val="dk1"/>
              </a:solidFill>
              <a:effectLst/>
              <a:latin typeface="+mn-lt"/>
              <a:ea typeface="+mn-ea"/>
              <a:cs typeface="+mn-cs"/>
            </a:rPr>
            <a:t>Detailed</a:t>
          </a:r>
          <a:r>
            <a:rPr lang="en-GB" sz="1100" b="0" i="0" baseline="0">
              <a:solidFill>
                <a:schemeClr val="dk1"/>
              </a:solidFill>
              <a:effectLst/>
              <a:latin typeface="+mn-lt"/>
              <a:ea typeface="+mn-ea"/>
              <a:cs typeface="+mn-cs"/>
            </a:rPr>
            <a:t> instructions on how to use the DST are provided in Section 4 of  IFC 2023. Post-construction Bird and Bat Fatality Monitoring for Onshore Wind Energy Facilities in Emerging Market Countries. Good Practice Handbook and Decision Support Tool.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 Color coding is used in the DST to assist  inputting information and locating the outputs , Specifically,</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dk1"/>
              </a:solidFill>
              <a:effectLst/>
              <a:latin typeface="+mn-lt"/>
              <a:ea typeface="+mn-ea"/>
              <a:cs typeface="+mn-cs"/>
            </a:rPr>
            <a:t>*  Data input </a:t>
          </a:r>
          <a:r>
            <a:rPr lang="en-GB" sz="1100" b="0" i="0" baseline="0">
              <a:solidFill>
                <a:schemeClr val="dk1"/>
              </a:solidFill>
              <a:effectLst/>
              <a:latin typeface="+mn-lt"/>
              <a:ea typeface="+mn-ea"/>
              <a:cs typeface="+mn-cs"/>
            </a:rPr>
            <a:t>cells are coloured </a:t>
          </a:r>
          <a:r>
            <a:rPr lang="en-GB" sz="1100" b="1" i="0" baseline="0">
              <a:solidFill>
                <a:schemeClr val="dk1"/>
              </a:solidFill>
              <a:effectLst/>
              <a:latin typeface="+mn-lt"/>
              <a:ea typeface="+mn-ea"/>
              <a:cs typeface="+mn-cs"/>
            </a:rPr>
            <a:t>blue</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dk1"/>
              </a:solidFill>
              <a:effectLst/>
              <a:latin typeface="+mn-lt"/>
              <a:ea typeface="+mn-ea"/>
              <a:cs typeface="+mn-cs"/>
            </a:rPr>
            <a:t>*  </a:t>
          </a:r>
          <a:r>
            <a:rPr lang="en-GB" sz="1100" b="0" i="0" baseline="0">
              <a:solidFill>
                <a:schemeClr val="dk1"/>
              </a:solidFill>
              <a:effectLst/>
              <a:latin typeface="+mn-lt"/>
              <a:ea typeface="+mn-ea"/>
              <a:cs typeface="+mn-cs"/>
            </a:rPr>
            <a:t>Cells requiring the user to select from</a:t>
          </a:r>
          <a:r>
            <a:rPr lang="en-GB" sz="1100" b="1" i="0" baseline="0">
              <a:solidFill>
                <a:schemeClr val="dk1"/>
              </a:solidFill>
              <a:effectLst/>
              <a:latin typeface="+mn-lt"/>
              <a:ea typeface="+mn-ea"/>
              <a:cs typeface="+mn-cs"/>
            </a:rPr>
            <a:t> drop down menus </a:t>
          </a:r>
          <a:r>
            <a:rPr lang="en-GB" sz="1100" b="0" i="0" baseline="0">
              <a:solidFill>
                <a:schemeClr val="dk1"/>
              </a:solidFill>
              <a:effectLst/>
              <a:latin typeface="+mn-lt"/>
              <a:ea typeface="+mn-ea"/>
              <a:cs typeface="+mn-cs"/>
            </a:rPr>
            <a:t>are colored </a:t>
          </a:r>
          <a:r>
            <a:rPr lang="en-GB" sz="1100" b="1" i="0" baseline="0">
              <a:solidFill>
                <a:schemeClr val="dk1"/>
              </a:solidFill>
              <a:effectLst/>
              <a:latin typeface="+mn-lt"/>
              <a:ea typeface="+mn-ea"/>
              <a:cs typeface="+mn-cs"/>
            </a:rPr>
            <a:t>grey</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baseline="0">
              <a:solidFill>
                <a:schemeClr val="dk1"/>
              </a:solidFill>
              <a:effectLst/>
              <a:latin typeface="+mn-lt"/>
              <a:ea typeface="+mn-ea"/>
              <a:cs typeface="+mn-cs"/>
            </a:rPr>
            <a:t>*  Recommended design outputs and associated Detection Probability Index (DPI) outputs are within boxes </a:t>
          </a:r>
          <a:r>
            <a:rPr lang="en-GB" sz="1100" b="0" i="0" baseline="0">
              <a:solidFill>
                <a:schemeClr val="dk1"/>
              </a:solidFill>
              <a:effectLst/>
              <a:latin typeface="+mn-lt"/>
              <a:ea typeface="+mn-ea"/>
              <a:cs typeface="+mn-cs"/>
            </a:rPr>
            <a:t>relevant to the type of design and </a:t>
          </a:r>
          <a:r>
            <a:rPr lang="en-GB" sz="1100" b="1" i="0" baseline="0">
              <a:solidFill>
                <a:schemeClr val="dk1"/>
              </a:solidFill>
              <a:effectLst/>
              <a:latin typeface="+mn-lt"/>
              <a:ea typeface="+mn-ea"/>
              <a:cs typeface="+mn-cs"/>
            </a:rPr>
            <a:t>are colored to be consistent with worksheet tab color </a:t>
          </a:r>
          <a:r>
            <a:rPr lang="en-GB" sz="1100" b="0" i="0" baseline="0">
              <a:solidFill>
                <a:schemeClr val="dk1"/>
              </a:solidFill>
              <a:effectLst/>
              <a:latin typeface="+mn-lt"/>
              <a:ea typeface="+mn-ea"/>
              <a:cs typeface="+mn-cs"/>
            </a:rPr>
            <a:t>(e.g. First Year recommended design outputs are in boxes bordered in green, Subsequent Year design outputs in boxes bordered in blue)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600" b="1" i="0" u="sng" baseline="0">
              <a:solidFill>
                <a:schemeClr val="dk1"/>
              </a:solidFill>
              <a:effectLst/>
              <a:latin typeface="+mn-lt"/>
              <a:ea typeface="+mn-ea"/>
              <a:cs typeface="+mn-cs"/>
            </a:rPr>
            <a:t>Relevant sections in the Good Practice Handbook</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baseline="0">
              <a:effectLst/>
            </a:rPr>
            <a:t>Section 3 </a:t>
          </a:r>
          <a:r>
            <a:rPr lang="en-GB" sz="1100" b="0" i="0" u="none" baseline="0">
              <a:effectLst/>
            </a:rPr>
            <a:t>provides the conceptual background and building blocks for designing a Post-Construction Fatality Monitoring (PCFM) study. </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baseline="0">
              <a:effectLst/>
            </a:rPr>
            <a:t>Section 4 </a:t>
          </a:r>
          <a:r>
            <a:rPr lang="en-GB" sz="1100" b="0" i="0" u="none" baseline="0">
              <a:effectLst/>
            </a:rPr>
            <a:t>builds on the core concepts and principles of PCFM design described in Section 3 and provides guidance to develop real-world PCFM designs and detailed information on using the DST. Section 4 is divided into subsections giving step by step information on how to use each of the 4 "User Interface ..." tabs in the DST. Specifically: </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baseline="0">
              <a:effectLst/>
            </a:rPr>
            <a:t>Section 4.1.2</a:t>
          </a:r>
          <a:r>
            <a:rPr lang="en-GB" sz="1100" b="0" i="0" u="none" baseline="0">
              <a:effectLst/>
            </a:rPr>
            <a:t> discusses Project setup and the First Year Design</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baseline="0">
              <a:effectLst/>
            </a:rPr>
            <a:t>Section 4.1.3 </a:t>
          </a:r>
          <a:r>
            <a:rPr lang="en-GB" sz="1100" b="0" i="0" u="none" baseline="0">
              <a:effectLst/>
            </a:rPr>
            <a:t>discusses Subsequent Years Design</a:t>
          </a: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baseline="0">
              <a:effectLst/>
            </a:rPr>
            <a:t>Section 4.1.1.3 </a:t>
          </a:r>
          <a:r>
            <a:rPr lang="en-GB" sz="1100" b="0" i="0" u="none" baseline="0">
              <a:effectLst/>
            </a:rPr>
            <a:t>discusses the Design Explorer</a:t>
          </a:r>
          <a:endParaRPr lang="en-GB" b="0" i="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279399</xdr:colOff>
      <xdr:row>20</xdr:row>
      <xdr:rowOff>66674</xdr:rowOff>
    </xdr:from>
    <xdr:to>
      <xdr:col>20</xdr:col>
      <xdr:colOff>555624</xdr:colOff>
      <xdr:row>29</xdr:row>
      <xdr:rowOff>25400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266700</xdr:colOff>
      <xdr:row>117</xdr:row>
      <xdr:rowOff>171450</xdr:rowOff>
    </xdr:from>
    <xdr:to>
      <xdr:col>8</xdr:col>
      <xdr:colOff>1190625</xdr:colOff>
      <xdr:row>132</xdr:row>
      <xdr:rowOff>57150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235</xdr:row>
      <xdr:rowOff>133350</xdr:rowOff>
    </xdr:from>
    <xdr:to>
      <xdr:col>9</xdr:col>
      <xdr:colOff>466725</xdr:colOff>
      <xdr:row>250</xdr:row>
      <xdr:rowOff>19050</xdr:rowOff>
    </xdr:to>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WESTcolors">
      <a:dk1>
        <a:sysClr val="windowText" lastClr="000000"/>
      </a:dk1>
      <a:lt1>
        <a:srgbClr val="FFFFFF"/>
      </a:lt1>
      <a:dk2>
        <a:srgbClr val="969696"/>
      </a:dk2>
      <a:lt2>
        <a:srgbClr val="2C4928"/>
      </a:lt2>
      <a:accent1>
        <a:srgbClr val="AA4499"/>
      </a:accent1>
      <a:accent2>
        <a:srgbClr val="44AA99"/>
      </a:accent2>
      <a:accent3>
        <a:srgbClr val="DDCC77"/>
      </a:accent3>
      <a:accent4>
        <a:srgbClr val="882255"/>
      </a:accent4>
      <a:accent5>
        <a:srgbClr val="117733"/>
      </a:accent5>
      <a:accent6>
        <a:srgbClr val="88CCEE"/>
      </a:accent6>
      <a:hlink>
        <a:srgbClr val="999933"/>
      </a:hlink>
      <a:folHlink>
        <a:srgbClr val="CC667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sheetPr>
  <dimension ref="A1:B1"/>
  <sheetViews>
    <sheetView zoomScale="130" zoomScaleNormal="130" workbookViewId="0">
      <selection activeCell="B5" sqref="B5"/>
    </sheetView>
  </sheetViews>
  <sheetFormatPr defaultRowHeight="14.5" x14ac:dyDescent="0.35"/>
  <cols>
    <col min="2" max="2" width="141.54296875" style="9" customWidth="1"/>
  </cols>
  <sheetData>
    <row r="1" spans="1:1" x14ac:dyDescent="0.35">
      <c r="A1" s="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S75"/>
  <sheetViews>
    <sheetView workbookViewId="0">
      <selection activeCell="B3" sqref="B3:AS67"/>
    </sheetView>
  </sheetViews>
  <sheetFormatPr defaultRowHeight="14.5" x14ac:dyDescent="0.35"/>
  <cols>
    <col min="1" max="1" width="24.54296875" customWidth="1"/>
    <col min="3" max="3" width="20.26953125" customWidth="1"/>
  </cols>
  <sheetData>
    <row r="2" spans="1:45" x14ac:dyDescent="0.35">
      <c r="C2" t="s">
        <v>67</v>
      </c>
    </row>
    <row r="3" spans="1:45" x14ac:dyDescent="0.35">
      <c r="A3" t="s">
        <v>66</v>
      </c>
      <c r="C3">
        <v>1</v>
      </c>
      <c r="D3">
        <v>2</v>
      </c>
      <c r="E3">
        <v>3</v>
      </c>
      <c r="F3">
        <v>3.5</v>
      </c>
      <c r="G3">
        <v>4</v>
      </c>
      <c r="H3">
        <v>5</v>
      </c>
      <c r="I3">
        <v>6</v>
      </c>
      <c r="J3">
        <v>7</v>
      </c>
      <c r="K3">
        <v>8</v>
      </c>
      <c r="L3">
        <v>9</v>
      </c>
      <c r="M3">
        <v>10</v>
      </c>
      <c r="N3">
        <v>11</v>
      </c>
      <c r="O3">
        <v>12</v>
      </c>
      <c r="P3">
        <v>13</v>
      </c>
      <c r="Q3">
        <v>14</v>
      </c>
      <c r="R3">
        <v>15</v>
      </c>
      <c r="S3">
        <v>16</v>
      </c>
      <c r="T3">
        <v>17</v>
      </c>
      <c r="U3">
        <v>18</v>
      </c>
      <c r="V3">
        <v>19</v>
      </c>
      <c r="W3">
        <v>20</v>
      </c>
      <c r="X3">
        <v>21</v>
      </c>
      <c r="Y3">
        <v>22</v>
      </c>
      <c r="Z3">
        <v>23</v>
      </c>
      <c r="AA3">
        <v>24</v>
      </c>
      <c r="AB3">
        <v>25</v>
      </c>
      <c r="AC3">
        <v>26</v>
      </c>
      <c r="AD3">
        <v>27</v>
      </c>
      <c r="AE3">
        <v>28</v>
      </c>
      <c r="AF3">
        <v>29</v>
      </c>
      <c r="AG3">
        <v>30</v>
      </c>
      <c r="AH3">
        <v>31</v>
      </c>
      <c r="AI3">
        <v>32</v>
      </c>
      <c r="AJ3">
        <v>33</v>
      </c>
      <c r="AK3">
        <v>34</v>
      </c>
      <c r="AL3">
        <v>35</v>
      </c>
      <c r="AM3">
        <v>36</v>
      </c>
      <c r="AN3">
        <v>37</v>
      </c>
      <c r="AO3">
        <v>38</v>
      </c>
      <c r="AP3">
        <v>39</v>
      </c>
      <c r="AQ3">
        <v>40</v>
      </c>
      <c r="AR3">
        <v>41</v>
      </c>
      <c r="AS3">
        <v>42</v>
      </c>
    </row>
    <row r="4" spans="1:45" x14ac:dyDescent="0.35">
      <c r="B4">
        <v>0.5</v>
      </c>
      <c r="C4" s="6">
        <v>0.43233235838169398</v>
      </c>
      <c r="D4" s="6">
        <v>0.245421090277816</v>
      </c>
      <c r="E4" s="6">
        <v>0.166253541303889</v>
      </c>
      <c r="F4" s="6">
        <v>0.14272687400492101</v>
      </c>
      <c r="G4" s="6">
        <v>0.12495806717151201</v>
      </c>
      <c r="H4" s="6">
        <v>9.9995460007023806E-2</v>
      </c>
      <c r="I4" s="6">
        <v>8.3332821315637198E-2</v>
      </c>
      <c r="J4" s="6">
        <v>7.1428512033662905E-2</v>
      </c>
      <c r="K4" s="6">
        <v>6.24999929665516E-2</v>
      </c>
      <c r="L4" s="6">
        <v>5.55555547094456E-2</v>
      </c>
      <c r="M4" s="6">
        <v>4.9999999896942302E-2</v>
      </c>
      <c r="N4" s="6">
        <v>4.5454545441866001E-2</v>
      </c>
      <c r="O4" s="6">
        <v>4.16666666650937E-2</v>
      </c>
      <c r="P4" s="6">
        <v>3.8461538461342003E-2</v>
      </c>
      <c r="Q4" s="6">
        <v>3.5714285714261197E-2</v>
      </c>
      <c r="R4" s="6">
        <v>3.3333333333330897E-2</v>
      </c>
      <c r="S4" s="6">
        <v>3.1249999999999601E-2</v>
      </c>
      <c r="T4" s="6">
        <v>2.94117647058823E-2</v>
      </c>
      <c r="U4" s="6">
        <v>2.7777777777777801E-2</v>
      </c>
      <c r="V4" s="6">
        <v>2.6315789473684199E-2</v>
      </c>
      <c r="W4" s="6">
        <v>2.5000000000000001E-2</v>
      </c>
      <c r="X4" s="6">
        <v>2.3809523809523801E-2</v>
      </c>
      <c r="Y4" s="6">
        <v>2.27272727272727E-2</v>
      </c>
      <c r="Z4" s="6">
        <v>2.1739130434782601E-2</v>
      </c>
      <c r="AA4" s="6">
        <v>2.0833333333333301E-2</v>
      </c>
      <c r="AB4" s="6">
        <v>0.02</v>
      </c>
      <c r="AC4" s="6">
        <v>1.9230769230769301E-2</v>
      </c>
      <c r="AD4" s="6">
        <v>1.8518518518518601E-2</v>
      </c>
      <c r="AE4" s="6">
        <v>1.7857142857142901E-2</v>
      </c>
      <c r="AF4" s="6">
        <v>1.7241379310345001E-2</v>
      </c>
      <c r="AG4" s="6">
        <v>1.6666666666667E-2</v>
      </c>
      <c r="AH4" s="6">
        <v>1.6129032258064498E-2</v>
      </c>
      <c r="AI4" s="6">
        <v>1.5625E-2</v>
      </c>
      <c r="AJ4" s="6">
        <v>1.5151515151515201E-2</v>
      </c>
      <c r="AK4" s="6">
        <v>1.4705882352941201E-2</v>
      </c>
      <c r="AL4" s="6">
        <v>1.4285714285714299E-2</v>
      </c>
      <c r="AM4" s="6">
        <v>1.38888888888889E-2</v>
      </c>
      <c r="AN4" s="6">
        <v>1.35135135135135E-2</v>
      </c>
      <c r="AO4" s="6">
        <v>1.3157894736842099E-2</v>
      </c>
      <c r="AP4" s="6">
        <v>1.2820512820512799E-2</v>
      </c>
      <c r="AQ4" s="6">
        <v>1.2500000000000001E-2</v>
      </c>
      <c r="AR4" s="6">
        <v>1.21951219512195E-2</v>
      </c>
      <c r="AS4">
        <v>1.1904761904761901E-2</v>
      </c>
    </row>
    <row r="5" spans="1:45" x14ac:dyDescent="0.35">
      <c r="B5">
        <v>0.6</v>
      </c>
      <c r="C5" s="6">
        <v>0.48667463829746299</v>
      </c>
      <c r="D5" s="6">
        <v>0.289297801995824</v>
      </c>
      <c r="E5" s="6">
        <v>0.19865241060018299</v>
      </c>
      <c r="F5" s="6">
        <v>0.17092657719517401</v>
      </c>
      <c r="G5" s="6">
        <v>0.14980910492979899</v>
      </c>
      <c r="H5" s="6">
        <v>0.11997115566283</v>
      </c>
      <c r="I5" s="6">
        <v>9.9995460007023695E-2</v>
      </c>
      <c r="J5" s="6">
        <v>8.5713550719505496E-2</v>
      </c>
      <c r="K5" s="6">
        <v>7.4999878530240593E-2</v>
      </c>
      <c r="L5" s="6">
        <v>6.6666646273178698E-2</v>
      </c>
      <c r="M5" s="6">
        <v>5.9999996533350898E-2</v>
      </c>
      <c r="N5" s="6">
        <v>5.45454539502132E-2</v>
      </c>
      <c r="O5" s="6">
        <v>4.9999999896942302E-2</v>
      </c>
      <c r="P5" s="6">
        <v>4.6153846135878397E-2</v>
      </c>
      <c r="Q5" s="6">
        <v>4.2857142853991601E-2</v>
      </c>
      <c r="R5" s="6">
        <v>3.9999999999444501E-2</v>
      </c>
      <c r="S5" s="6">
        <v>3.7499999999901702E-2</v>
      </c>
      <c r="T5" s="6">
        <v>3.5294117647041497E-2</v>
      </c>
      <c r="U5" s="6">
        <v>3.3333333333330203E-2</v>
      </c>
      <c r="V5" s="6">
        <v>3.1578947368420499E-2</v>
      </c>
      <c r="W5" s="6">
        <v>2.9999999999999898E-2</v>
      </c>
      <c r="X5" s="6">
        <v>2.8571428571428501E-2</v>
      </c>
      <c r="Y5" s="6">
        <v>2.7272727272727299E-2</v>
      </c>
      <c r="Z5" s="6">
        <v>2.6086956521739101E-2</v>
      </c>
      <c r="AA5" s="6">
        <v>2.5000000000000001E-2</v>
      </c>
      <c r="AB5" s="6">
        <v>2.4E-2</v>
      </c>
      <c r="AC5" s="6">
        <v>2.3076923076923099E-2</v>
      </c>
      <c r="AD5" s="6">
        <v>2.2222222222222199E-2</v>
      </c>
      <c r="AE5" s="6">
        <v>2.1428571428571401E-2</v>
      </c>
      <c r="AF5" s="6">
        <v>2.06896551724138E-2</v>
      </c>
      <c r="AG5" s="6">
        <v>0.02</v>
      </c>
      <c r="AH5" s="6">
        <v>1.9354838709677399E-2</v>
      </c>
      <c r="AI5" s="6">
        <v>1.8749999999999999E-2</v>
      </c>
      <c r="AJ5" s="6">
        <v>1.8181818181818198E-2</v>
      </c>
      <c r="AK5" s="6">
        <v>1.7647058823529502E-2</v>
      </c>
      <c r="AL5" s="6">
        <v>1.71428571428573E-2</v>
      </c>
      <c r="AM5" s="6">
        <v>1.6666666666666701E-2</v>
      </c>
      <c r="AN5" s="6">
        <v>1.62162162162162E-2</v>
      </c>
      <c r="AO5" s="6">
        <v>1.5789473684210499E-2</v>
      </c>
      <c r="AP5" s="6">
        <v>1.5384615384615399E-2</v>
      </c>
      <c r="AQ5" s="6">
        <v>1.4999999999999999E-2</v>
      </c>
      <c r="AR5" s="6">
        <v>1.46341463414634E-2</v>
      </c>
      <c r="AS5">
        <v>1.4285714285714299E-2</v>
      </c>
    </row>
    <row r="6" spans="1:45" x14ac:dyDescent="0.35">
      <c r="B6">
        <v>0.7</v>
      </c>
      <c r="C6" s="6">
        <v>0.53224427449075695</v>
      </c>
      <c r="D6" s="6">
        <v>0.32989858325633398</v>
      </c>
      <c r="E6" s="6">
        <v>0.23012178309562201</v>
      </c>
      <c r="F6" s="6">
        <v>0.19865241060018299</v>
      </c>
      <c r="G6" s="6">
        <v>0.17442276149271099</v>
      </c>
      <c r="H6" s="6">
        <v>0.139889331354763</v>
      </c>
      <c r="I6" s="6">
        <v>0.11664456512039</v>
      </c>
      <c r="J6" s="6">
        <v>9.9995460007023806E-2</v>
      </c>
      <c r="K6" s="6">
        <v>8.7499047987730602E-2</v>
      </c>
      <c r="L6" s="6">
        <v>7.7777574977131503E-2</v>
      </c>
      <c r="M6" s="6">
        <v>6.9999956258753396E-2</v>
      </c>
      <c r="N6" s="6">
        <v>6.3636354106695395E-2</v>
      </c>
      <c r="O6" s="6">
        <v>5.8333331239854701E-2</v>
      </c>
      <c r="P6" s="6">
        <v>5.3846153383042203E-2</v>
      </c>
      <c r="Q6" s="6">
        <v>4.9999999896942302E-2</v>
      </c>
      <c r="R6" s="6">
        <v>4.6666666643615302E-2</v>
      </c>
      <c r="S6" s="6">
        <v>4.3749999994821001E-2</v>
      </c>
      <c r="T6" s="6">
        <v>4.11764705870672E-2</v>
      </c>
      <c r="U6" s="6">
        <v>3.8888888888624497E-2</v>
      </c>
      <c r="V6" s="6">
        <v>3.6842105263098002E-2</v>
      </c>
      <c r="W6" s="6">
        <v>3.4999999999986597E-2</v>
      </c>
      <c r="X6" s="6">
        <v>3.3333333333330203E-2</v>
      </c>
      <c r="Y6" s="6">
        <v>3.18181818181811E-2</v>
      </c>
      <c r="Z6" s="6">
        <v>3.0434782608695501E-2</v>
      </c>
      <c r="AA6" s="6">
        <v>2.9166666666666601E-2</v>
      </c>
      <c r="AB6" s="6">
        <v>2.8000000000000001E-2</v>
      </c>
      <c r="AC6" s="6">
        <v>2.69230769230769E-2</v>
      </c>
      <c r="AD6" s="6">
        <v>2.5925925925925901E-2</v>
      </c>
      <c r="AE6" s="6">
        <v>2.5000000000000001E-2</v>
      </c>
      <c r="AF6" s="6">
        <v>2.41379310344828E-2</v>
      </c>
      <c r="AG6" s="6">
        <v>2.33333333333333E-2</v>
      </c>
      <c r="AH6" s="6">
        <v>2.25806451612903E-2</v>
      </c>
      <c r="AI6" s="6">
        <v>2.1874999999999999E-2</v>
      </c>
      <c r="AJ6" s="6">
        <v>2.12121212121212E-2</v>
      </c>
      <c r="AK6" s="6">
        <v>2.0588235294117699E-2</v>
      </c>
      <c r="AL6" s="6">
        <v>0.02</v>
      </c>
      <c r="AM6" s="6">
        <v>1.94444444444445E-2</v>
      </c>
      <c r="AN6" s="6">
        <v>1.8918918918918899E-2</v>
      </c>
      <c r="AO6" s="6">
        <v>1.8421052631579001E-2</v>
      </c>
      <c r="AP6" s="6">
        <v>1.7948717948717999E-2</v>
      </c>
      <c r="AQ6" s="6">
        <v>1.7500000000000099E-2</v>
      </c>
      <c r="AR6" s="6">
        <v>1.7073170731707499E-2</v>
      </c>
      <c r="AS6">
        <v>1.6666666666666701E-2</v>
      </c>
    </row>
    <row r="7" spans="1:45" x14ac:dyDescent="0.35">
      <c r="B7">
        <v>0.8</v>
      </c>
      <c r="C7" s="6">
        <v>0.57079616251184795</v>
      </c>
      <c r="D7" s="6">
        <v>0.36716600055044002</v>
      </c>
      <c r="E7" s="6">
        <v>0.260395267771731</v>
      </c>
      <c r="F7" s="6">
        <v>0.225694138916015</v>
      </c>
      <c r="G7" s="6">
        <v>0.19865241060018299</v>
      </c>
      <c r="H7" s="6">
        <v>0.15969112733820401</v>
      </c>
      <c r="I7" s="6">
        <v>0.133259588750647</v>
      </c>
      <c r="J7" s="6">
        <v>0.114267604419987</v>
      </c>
      <c r="K7" s="6">
        <v>9.9995460007023806E-2</v>
      </c>
      <c r="L7" s="6">
        <v>8.8887732684652998E-2</v>
      </c>
      <c r="M7" s="6">
        <v>7.9999701867746201E-2</v>
      </c>
      <c r="N7" s="6">
        <v>7.2727195076072004E-2</v>
      </c>
      <c r="O7" s="6">
        <v>6.6666646273178698E-2</v>
      </c>
      <c r="P7" s="6">
        <v>6.1538456145077997E-2</v>
      </c>
      <c r="Q7" s="6">
        <v>5.7142855708000498E-2</v>
      </c>
      <c r="R7" s="6">
        <v>5.3333332949646199E-2</v>
      </c>
      <c r="S7" s="6">
        <v>4.9999999896942302E-2</v>
      </c>
      <c r="T7" s="6">
        <v>4.7058823501622098E-2</v>
      </c>
      <c r="U7" s="6">
        <v>4.4444444436924899E-2</v>
      </c>
      <c r="V7" s="6">
        <v>4.2105263155853702E-2</v>
      </c>
      <c r="W7" s="6">
        <v>3.9999999999444501E-2</v>
      </c>
      <c r="X7" s="6">
        <v>3.8095238095086602E-2</v>
      </c>
      <c r="Y7" s="6">
        <v>3.6363636363594999E-2</v>
      </c>
      <c r="Z7" s="6">
        <v>3.47826086956411E-2</v>
      </c>
      <c r="AA7" s="6">
        <v>3.3333333333330203E-2</v>
      </c>
      <c r="AB7" s="6">
        <v>3.1999999999999099E-2</v>
      </c>
      <c r="AC7" s="6">
        <v>3.07692307692305E-2</v>
      </c>
      <c r="AD7" s="6">
        <v>2.96296296296296E-2</v>
      </c>
      <c r="AE7" s="6">
        <v>2.8571428571428598E-2</v>
      </c>
      <c r="AF7" s="6">
        <v>2.7586206896551699E-2</v>
      </c>
      <c r="AG7" s="6">
        <v>2.66666666666667E-2</v>
      </c>
      <c r="AH7" s="6">
        <v>2.5806451612903201E-2</v>
      </c>
      <c r="AI7" s="6">
        <v>2.5000000000000001E-2</v>
      </c>
      <c r="AJ7" s="6">
        <v>2.4242424242424201E-2</v>
      </c>
      <c r="AK7" s="6">
        <v>2.3529411764705899E-2</v>
      </c>
      <c r="AL7" s="6">
        <v>2.2857142857142899E-2</v>
      </c>
      <c r="AM7" s="6">
        <v>2.2222222222222199E-2</v>
      </c>
      <c r="AN7" s="6">
        <v>2.1621621621621599E-2</v>
      </c>
      <c r="AO7" s="6">
        <v>2.1052631578947399E-2</v>
      </c>
      <c r="AP7" s="6">
        <v>2.0512820512820499E-2</v>
      </c>
      <c r="AQ7" s="6">
        <v>0.02</v>
      </c>
      <c r="AR7" s="6">
        <v>1.9512195121951199E-2</v>
      </c>
      <c r="AS7">
        <v>1.9047619047619101E-2</v>
      </c>
    </row>
    <row r="8" spans="1:45" x14ac:dyDescent="0.35">
      <c r="B8">
        <v>0.9</v>
      </c>
      <c r="C8" s="6">
        <v>0.60372631097288498</v>
      </c>
      <c r="D8" s="6">
        <v>0.40123438955014701</v>
      </c>
      <c r="E8" s="6">
        <v>0.289297801995824</v>
      </c>
      <c r="F8" s="6">
        <v>0.25187963767345301</v>
      </c>
      <c r="G8" s="6">
        <v>0.22235768359717001</v>
      </c>
      <c r="H8" s="6">
        <v>0.17930413437489501</v>
      </c>
      <c r="I8" s="6">
        <v>0.14980910492979899</v>
      </c>
      <c r="J8" s="6">
        <v>0.128517564584128</v>
      </c>
      <c r="K8" s="6">
        <v>0.11248448480895</v>
      </c>
      <c r="L8" s="6">
        <v>9.9995460007023695E-2</v>
      </c>
      <c r="M8" s="6">
        <v>8.9998654919532795E-2</v>
      </c>
      <c r="N8" s="6">
        <v>8.1817779280856498E-2</v>
      </c>
      <c r="O8" s="6">
        <v>7.4999878530240593E-2</v>
      </c>
      <c r="P8" s="6">
        <v>6.9230732319698701E-2</v>
      </c>
      <c r="Q8" s="6">
        <v>6.4285703002767702E-2</v>
      </c>
      <c r="R8" s="6">
        <v>5.9999996533350898E-2</v>
      </c>
      <c r="S8" s="6">
        <v>5.6249998930128199E-2</v>
      </c>
      <c r="T8" s="6">
        <v>5.2941176139111298E-2</v>
      </c>
      <c r="U8" s="6">
        <v>4.9999999896942302E-2</v>
      </c>
      <c r="V8" s="6">
        <v>4.7368421020491297E-2</v>
      </c>
      <c r="W8" s="6">
        <v>4.4999999989948698E-2</v>
      </c>
      <c r="X8" s="6">
        <v>4.2857142853991601E-2</v>
      </c>
      <c r="Y8" s="6">
        <v>4.0909090908100701E-2</v>
      </c>
      <c r="Z8" s="6">
        <v>3.91304347822969E-2</v>
      </c>
      <c r="AA8" s="6">
        <v>3.7499999999901702E-2</v>
      </c>
      <c r="AB8" s="6">
        <v>3.5999999999969098E-2</v>
      </c>
      <c r="AC8" s="6">
        <v>3.4615384615375097E-2</v>
      </c>
      <c r="AD8" s="6">
        <v>3.3333333333330203E-2</v>
      </c>
      <c r="AE8" s="6">
        <v>3.2142857142856099E-2</v>
      </c>
      <c r="AF8" s="6">
        <v>3.1034482758620401E-2</v>
      </c>
      <c r="AG8" s="6">
        <v>2.9999999999999898E-2</v>
      </c>
      <c r="AH8" s="6">
        <v>2.9032258064516099E-2</v>
      </c>
      <c r="AI8" s="6">
        <v>2.8125000000000001E-2</v>
      </c>
      <c r="AJ8" s="6">
        <v>2.7272727272727299E-2</v>
      </c>
      <c r="AK8" s="6">
        <v>2.64705882352941E-2</v>
      </c>
      <c r="AL8" s="6">
        <v>2.57142857142857E-2</v>
      </c>
      <c r="AM8" s="6">
        <v>2.5000000000000001E-2</v>
      </c>
      <c r="AN8" s="6">
        <v>2.4324324324324301E-2</v>
      </c>
      <c r="AO8" s="6">
        <v>2.3684210526315801E-2</v>
      </c>
      <c r="AP8" s="6">
        <v>2.3076923076923099E-2</v>
      </c>
      <c r="AQ8" s="6">
        <v>2.2499999999999999E-2</v>
      </c>
      <c r="AR8" s="6">
        <v>2.19512195121951E-2</v>
      </c>
      <c r="AS8">
        <v>2.1428571428571401E-2</v>
      </c>
    </row>
    <row r="9" spans="1:45" x14ac:dyDescent="0.35">
      <c r="B9">
        <v>1</v>
      </c>
      <c r="C9" s="6">
        <v>0.632120558828558</v>
      </c>
      <c r="D9" s="6">
        <v>0.43233235838169398</v>
      </c>
      <c r="E9" s="6">
        <v>0.31673764387737902</v>
      </c>
      <c r="F9" s="6">
        <v>0.277086461879338</v>
      </c>
      <c r="G9" s="6">
        <v>0.245421090277816</v>
      </c>
      <c r="H9" s="6">
        <v>0.19865241060018299</v>
      </c>
      <c r="I9" s="6">
        <v>0.166253541303889</v>
      </c>
      <c r="J9" s="6">
        <v>0.14272687400492101</v>
      </c>
      <c r="K9" s="6">
        <v>0.12495806717151201</v>
      </c>
      <c r="L9" s="6">
        <v>0.11109739891065699</v>
      </c>
      <c r="M9" s="6">
        <v>9.9995460007023806E-2</v>
      </c>
      <c r="N9" s="6">
        <v>9.0907572572655401E-2</v>
      </c>
      <c r="O9" s="6">
        <v>8.3332821315637198E-2</v>
      </c>
      <c r="P9" s="6">
        <v>7.6922903051584099E-2</v>
      </c>
      <c r="Q9" s="6">
        <v>7.1428512033662905E-2</v>
      </c>
      <c r="R9" s="6">
        <v>6.6666646273178601E-2</v>
      </c>
      <c r="S9" s="6">
        <v>6.24999929665516E-2</v>
      </c>
      <c r="T9" s="6">
        <v>5.8823526976507202E-2</v>
      </c>
      <c r="U9" s="6">
        <v>5.55555547094456E-2</v>
      </c>
      <c r="V9" s="6">
        <v>5.2631578652484398E-2</v>
      </c>
      <c r="W9" s="6">
        <v>4.9999999896942302E-2</v>
      </c>
      <c r="X9" s="6">
        <v>4.7619047582940201E-2</v>
      </c>
      <c r="Y9" s="6">
        <v>4.5454545441866001E-2</v>
      </c>
      <c r="Z9" s="6">
        <v>4.34782608651035E-2</v>
      </c>
      <c r="AA9" s="6">
        <v>4.16666666650937E-2</v>
      </c>
      <c r="AB9" s="6">
        <v>3.9999999999444501E-2</v>
      </c>
      <c r="AC9" s="6">
        <v>3.8461538461342003E-2</v>
      </c>
      <c r="AD9" s="6">
        <v>3.70370370369675E-2</v>
      </c>
      <c r="AE9" s="6">
        <v>3.5714285714261197E-2</v>
      </c>
      <c r="AF9" s="6">
        <v>3.4482758620681203E-2</v>
      </c>
      <c r="AG9" s="6">
        <v>3.3333333333330203E-2</v>
      </c>
      <c r="AH9" s="6">
        <v>3.22580645161279E-2</v>
      </c>
      <c r="AI9" s="6">
        <v>3.1249999999999601E-2</v>
      </c>
      <c r="AJ9" s="6">
        <v>3.03030303030302E-2</v>
      </c>
      <c r="AK9" s="6">
        <v>2.94117647058823E-2</v>
      </c>
      <c r="AL9" s="6">
        <v>2.8571428571428501E-2</v>
      </c>
      <c r="AM9" s="6">
        <v>2.7777777777777801E-2</v>
      </c>
      <c r="AN9" s="6">
        <v>2.7027027027027001E-2</v>
      </c>
      <c r="AO9" s="6">
        <v>2.6315789473684199E-2</v>
      </c>
      <c r="AP9" s="6">
        <v>2.5641025641025599E-2</v>
      </c>
      <c r="AQ9" s="6">
        <v>2.5000000000000001E-2</v>
      </c>
      <c r="AR9" s="6">
        <v>2.4390243902439001E-2</v>
      </c>
      <c r="AS9">
        <v>2.3809523809523801E-2</v>
      </c>
    </row>
    <row r="10" spans="1:45" x14ac:dyDescent="0.35">
      <c r="B10">
        <v>1.5</v>
      </c>
      <c r="C10" s="6">
        <v>0.72987432145111197</v>
      </c>
      <c r="D10" s="6">
        <v>0.55230214641320496</v>
      </c>
      <c r="E10" s="6">
        <v>0.43233235838169398</v>
      </c>
      <c r="F10" s="6">
        <v>0.38701201377239802</v>
      </c>
      <c r="G10" s="6">
        <v>0.34894370579144901</v>
      </c>
      <c r="H10" s="6">
        <v>0.289297801995824</v>
      </c>
      <c r="I10" s="6">
        <v>0.245421090277817</v>
      </c>
      <c r="J10" s="6">
        <v>0.21227066516753701</v>
      </c>
      <c r="K10" s="6">
        <v>0.18659475937615699</v>
      </c>
      <c r="L10" s="6">
        <v>0.166253541303889</v>
      </c>
      <c r="M10" s="6">
        <v>0.14980910492979899</v>
      </c>
      <c r="N10" s="6">
        <v>0.13627453745729101</v>
      </c>
      <c r="O10" s="6">
        <v>0.12495806717151201</v>
      </c>
      <c r="P10" s="6">
        <v>0.11536474243200499</v>
      </c>
      <c r="Q10" s="6">
        <v>0.10713338282264399</v>
      </c>
      <c r="R10" s="6">
        <v>9.9995460007023806E-2</v>
      </c>
      <c r="S10" s="6">
        <v>9.3747814771767898E-2</v>
      </c>
      <c r="T10" s="6">
        <v>8.8234238180156799E-2</v>
      </c>
      <c r="U10" s="6">
        <v>8.3332821315637198E-2</v>
      </c>
      <c r="V10" s="6">
        <v>7.89471193781206E-2</v>
      </c>
      <c r="W10" s="6">
        <v>7.4999878530240593E-2</v>
      </c>
      <c r="X10" s="6">
        <v>7.1428512033662905E-2</v>
      </c>
      <c r="Y10" s="6">
        <v>6.8181789073562801E-2</v>
      </c>
      <c r="Z10" s="6">
        <v>6.5217377009439706E-2</v>
      </c>
      <c r="AA10" s="6">
        <v>6.24999929665516E-2</v>
      </c>
      <c r="AB10" s="6">
        <v>5.9999996533350898E-2</v>
      </c>
      <c r="AC10" s="6">
        <v>5.7692305980925999E-2</v>
      </c>
      <c r="AD10" s="6">
        <v>5.5555554709445502E-2</v>
      </c>
      <c r="AE10" s="6">
        <v>5.3571428152535801E-2</v>
      </c>
      <c r="AF10" s="6">
        <v>5.1724137723383898E-2</v>
      </c>
      <c r="AG10" s="6">
        <v>4.9999999896942302E-2</v>
      </c>
      <c r="AH10" s="6">
        <v>4.8387096722988798E-2</v>
      </c>
      <c r="AI10" s="6">
        <v>4.6874999974532199E-2</v>
      </c>
      <c r="AJ10" s="6">
        <v>4.5454545441866001E-2</v>
      </c>
      <c r="AK10" s="6">
        <v>4.4117647052505198E-2</v>
      </c>
      <c r="AL10" s="6">
        <v>4.2857142853991601E-2</v>
      </c>
      <c r="AM10" s="6">
        <v>4.16666666650937E-2</v>
      </c>
      <c r="AN10" s="6">
        <v>4.0540540539754803E-2</v>
      </c>
      <c r="AO10" s="6">
        <v>3.9473684210133503E-2</v>
      </c>
      <c r="AP10" s="6">
        <v>3.8461538461342003E-2</v>
      </c>
      <c r="AQ10" s="6">
        <v>3.7499999999901702E-2</v>
      </c>
      <c r="AR10" s="6">
        <v>3.65853658536094E-2</v>
      </c>
      <c r="AS10">
        <v>3.5714285714261197E-2</v>
      </c>
    </row>
    <row r="11" spans="1:45" x14ac:dyDescent="0.35">
      <c r="B11">
        <v>2</v>
      </c>
      <c r="C11" s="6">
        <v>0.78693868057473304</v>
      </c>
      <c r="D11" s="6">
        <v>0.632120558828558</v>
      </c>
      <c r="E11" s="6">
        <v>0.51791322656771399</v>
      </c>
      <c r="F11" s="6">
        <v>0.47212917517117398</v>
      </c>
      <c r="G11" s="6">
        <v>0.43233235838169398</v>
      </c>
      <c r="H11" s="6">
        <v>0.36716600055044002</v>
      </c>
      <c r="I11" s="6">
        <v>0.31673764387737902</v>
      </c>
      <c r="J11" s="6">
        <v>0.277086461879338</v>
      </c>
      <c r="K11" s="6">
        <v>0.245421090277816</v>
      </c>
      <c r="L11" s="6">
        <v>0.21975355632483501</v>
      </c>
      <c r="M11" s="6">
        <v>0.19865241060018299</v>
      </c>
      <c r="N11" s="6">
        <v>0.18107513246573401</v>
      </c>
      <c r="O11" s="6">
        <v>0.166253541303889</v>
      </c>
      <c r="P11" s="6">
        <v>0.15361485550877299</v>
      </c>
      <c r="Q11" s="6">
        <v>0.14272687400492101</v>
      </c>
      <c r="R11" s="6">
        <v>0.133259588750647</v>
      </c>
      <c r="S11" s="6">
        <v>0.12495806717151201</v>
      </c>
      <c r="T11" s="6">
        <v>0.117623121368352</v>
      </c>
      <c r="U11" s="6">
        <v>0.11109739891065699</v>
      </c>
      <c r="V11" s="6">
        <v>0.10525527875474899</v>
      </c>
      <c r="W11" s="6">
        <v>9.9995460007023806E-2</v>
      </c>
      <c r="X11" s="6">
        <v>9.5235472719109496E-2</v>
      </c>
      <c r="Y11" s="6">
        <v>9.0907572572655401E-2</v>
      </c>
      <c r="Z11" s="6">
        <v>8.6955640861426195E-2</v>
      </c>
      <c r="AA11" s="6">
        <v>8.3332821315637198E-2</v>
      </c>
      <c r="AB11" s="6">
        <v>7.9999701867746298E-2</v>
      </c>
      <c r="AC11" s="6">
        <v>7.6922903051584099E-2</v>
      </c>
      <c r="AD11" s="6">
        <v>7.4073972521549195E-2</v>
      </c>
      <c r="AE11" s="6">
        <v>7.1428512033662905E-2</v>
      </c>
      <c r="AF11" s="6">
        <v>6.8965482458781896E-2</v>
      </c>
      <c r="AG11" s="6">
        <v>6.6666646273178601E-2</v>
      </c>
      <c r="AH11" s="6">
        <v>6.4516117061991202E-2</v>
      </c>
      <c r="AI11" s="6">
        <v>6.24999929665516E-2</v>
      </c>
      <c r="AJ11" s="6">
        <v>6.0606056469331301E-2</v>
      </c>
      <c r="AK11" s="6">
        <v>5.8823526976507202E-2</v>
      </c>
      <c r="AL11" s="6">
        <v>5.7142855708000498E-2</v>
      </c>
      <c r="AM11" s="6">
        <v>5.55555547094456E-2</v>
      </c>
      <c r="AN11" s="6">
        <v>5.4054053554732397E-2</v>
      </c>
      <c r="AO11" s="6">
        <v>5.2631578652484398E-2</v>
      </c>
      <c r="AP11" s="6">
        <v>5.1282051107781203E-2</v>
      </c>
      <c r="AQ11" s="6">
        <v>4.9999999896942302E-2</v>
      </c>
      <c r="AR11" s="6">
        <v>4.8780487743894999E-2</v>
      </c>
      <c r="AS11">
        <v>4.7619047582940201E-2</v>
      </c>
    </row>
    <row r="12" spans="1:45" x14ac:dyDescent="0.35">
      <c r="B12">
        <v>2.5</v>
      </c>
      <c r="C12" s="6">
        <v>0.82419988491090201</v>
      </c>
      <c r="D12" s="6">
        <v>0.68833879485347305</v>
      </c>
      <c r="E12" s="6">
        <v>0.58233815673983202</v>
      </c>
      <c r="F12" s="6">
        <v>0.53814502575599499</v>
      </c>
      <c r="G12" s="6">
        <v>0.49881467625333997</v>
      </c>
      <c r="H12" s="6">
        <v>0.43233235838169398</v>
      </c>
      <c r="I12" s="6">
        <v>0.37886751946274499</v>
      </c>
      <c r="J12" s="6">
        <v>0.33542497763385098</v>
      </c>
      <c r="K12" s="6">
        <v>0.29976181125676099</v>
      </c>
      <c r="L12" s="6">
        <v>0.27018785487575198</v>
      </c>
      <c r="M12" s="6">
        <v>0.245421090277816</v>
      </c>
      <c r="N12" s="6">
        <v>0.224482422749303</v>
      </c>
      <c r="O12" s="6">
        <v>0.206618802698121</v>
      </c>
      <c r="P12" s="6">
        <v>0.19124681453446901</v>
      </c>
      <c r="Q12" s="6">
        <v>0.17791109576491401</v>
      </c>
      <c r="R12" s="6">
        <v>0.166253541303889</v>
      </c>
      <c r="S12" s="6">
        <v>0.15599038167606699</v>
      </c>
      <c r="T12" s="6">
        <v>0.14689503306649301</v>
      </c>
      <c r="U12" s="6">
        <v>0.13878519641550299</v>
      </c>
      <c r="V12" s="6">
        <v>0.1315130984956</v>
      </c>
      <c r="W12" s="6">
        <v>0.12495806717151201</v>
      </c>
      <c r="X12" s="6">
        <v>0.11902084912807399</v>
      </c>
      <c r="Y12" s="6">
        <v>0.11361923487783</v>
      </c>
      <c r="Z12" s="6">
        <v>0.108684669630235</v>
      </c>
      <c r="AA12" s="6">
        <v>0.10415961158994901</v>
      </c>
      <c r="AB12" s="6">
        <v>9.9995460007023806E-2</v>
      </c>
      <c r="AC12" s="6">
        <v>9.6150919953556901E-2</v>
      </c>
      <c r="AD12" s="6">
        <v>9.25907037496842E-2</v>
      </c>
      <c r="AE12" s="6">
        <v>8.9284493375351298E-2</v>
      </c>
      <c r="AF12" s="6">
        <v>8.6206106371746902E-2</v>
      </c>
      <c r="AG12" s="6">
        <v>8.3332821315637198E-2</v>
      </c>
      <c r="AH12" s="6">
        <v>8.0644829146071906E-2</v>
      </c>
      <c r="AI12" s="6">
        <v>7.8124784314642801E-2</v>
      </c>
      <c r="AJ12" s="6">
        <v>7.5757435560515299E-2</v>
      </c>
      <c r="AK12" s="6">
        <v>7.3529320551832394E-2</v>
      </c>
      <c r="AL12" s="6">
        <v>7.1428512033662905E-2</v>
      </c>
      <c r="AM12" s="6">
        <v>6.9444405736779902E-2</v>
      </c>
      <c r="AN12" s="6">
        <v>6.7567542322301499E-2</v>
      </c>
      <c r="AO12" s="6">
        <v>6.5789457207129101E-2</v>
      </c>
      <c r="AP12" s="6">
        <v>6.4102553340849203E-2</v>
      </c>
      <c r="AQ12" s="6">
        <v>6.24999929665516E-2</v>
      </c>
      <c r="AR12" s="6">
        <v>6.0975605156427901E-2</v>
      </c>
      <c r="AS12">
        <v>5.9523806513969497E-2</v>
      </c>
    </row>
    <row r="13" spans="1:45" x14ac:dyDescent="0.35">
      <c r="B13">
        <v>3</v>
      </c>
      <c r="C13" s="6">
        <v>0.85040606827863197</v>
      </c>
      <c r="D13" s="6">
        <v>0.72987432145111197</v>
      </c>
      <c r="E13" s="6">
        <v>0.632120558828558</v>
      </c>
      <c r="F13" s="6">
        <v>0.59022580807320202</v>
      </c>
      <c r="G13" s="6">
        <v>0.55230214641320496</v>
      </c>
      <c r="H13" s="6">
        <v>0.48667463829746299</v>
      </c>
      <c r="I13" s="6">
        <v>0.43233235838169398</v>
      </c>
      <c r="J13" s="6">
        <v>0.38701201377239802</v>
      </c>
      <c r="K13" s="6">
        <v>0.34894370579144901</v>
      </c>
      <c r="L13" s="6">
        <v>0.31673764387737902</v>
      </c>
      <c r="M13" s="6">
        <v>0.289297801995824</v>
      </c>
      <c r="N13" s="6">
        <v>0.265755945489134</v>
      </c>
      <c r="O13" s="6">
        <v>0.245421090277817</v>
      </c>
      <c r="P13" s="6">
        <v>0.227740677983783</v>
      </c>
      <c r="Q13" s="6">
        <v>0.21227066516753701</v>
      </c>
      <c r="R13" s="6">
        <v>0.19865241060018299</v>
      </c>
      <c r="S13" s="6">
        <v>0.18659475937615699</v>
      </c>
      <c r="T13" s="6">
        <v>0.17586010988180001</v>
      </c>
      <c r="U13" s="6">
        <v>0.166253541303889</v>
      </c>
      <c r="V13" s="6">
        <v>0.15761429944014699</v>
      </c>
      <c r="W13" s="6">
        <v>0.14980910492979899</v>
      </c>
      <c r="X13" s="6">
        <v>0.14272687400492101</v>
      </c>
      <c r="Y13" s="6">
        <v>0.13627453745729101</v>
      </c>
      <c r="Z13" s="6">
        <v>0.13037371619848001</v>
      </c>
      <c r="AA13" s="6">
        <v>0.12495806717151201</v>
      </c>
      <c r="AB13" s="6">
        <v>0.11997115566283</v>
      </c>
      <c r="AC13" s="6">
        <v>0.11536474243200499</v>
      </c>
      <c r="AD13" s="6">
        <v>0.11109739891065699</v>
      </c>
      <c r="AE13" s="6">
        <v>0.10713338282264399</v>
      </c>
      <c r="AF13" s="6">
        <v>0.103441721306268</v>
      </c>
      <c r="AG13" s="6">
        <v>9.9995460007023806E-2</v>
      </c>
      <c r="AH13" s="6">
        <v>9.6771045438273598E-2</v>
      </c>
      <c r="AI13" s="6">
        <v>9.3747814771767898E-2</v>
      </c>
      <c r="AJ13" s="6">
        <v>9.0907572572655401E-2</v>
      </c>
      <c r="AK13" s="6">
        <v>8.8234238180156799E-2</v>
      </c>
      <c r="AL13" s="6">
        <v>8.5713550719505496E-2</v>
      </c>
      <c r="AM13" s="6">
        <v>8.3332821315637198E-2</v>
      </c>
      <c r="AN13" s="6">
        <v>8.1080724119956996E-2</v>
      </c>
      <c r="AO13" s="6">
        <v>7.89471193781206E-2</v>
      </c>
      <c r="AP13" s="6">
        <v>7.6922903051584099E-2</v>
      </c>
      <c r="AQ13" s="6">
        <v>7.4999878530240593E-2</v>
      </c>
      <c r="AR13" s="6">
        <v>7.3170646793282099E-2</v>
      </c>
      <c r="AS13">
        <v>7.1428512033662905E-2</v>
      </c>
    </row>
    <row r="14" spans="1:45" x14ac:dyDescent="0.35">
      <c r="B14">
        <v>3.5</v>
      </c>
      <c r="C14" s="6">
        <v>0.86982947423649903</v>
      </c>
      <c r="D14" s="6">
        <v>0.76174328648642098</v>
      </c>
      <c r="E14" s="6">
        <v>0.67156501337689201</v>
      </c>
      <c r="F14" s="6">
        <v>0.632120558828558</v>
      </c>
      <c r="G14" s="6">
        <v>0.59595676234152595</v>
      </c>
      <c r="H14" s="6">
        <v>0.53224427449075695</v>
      </c>
      <c r="I14" s="6">
        <v>0.47827948458036101</v>
      </c>
      <c r="J14" s="6">
        <v>0.43233235838169398</v>
      </c>
      <c r="K14" s="6">
        <v>0.39300564086690098</v>
      </c>
      <c r="L14" s="6">
        <v>0.35916755505914599</v>
      </c>
      <c r="M14" s="6">
        <v>0.32989858325633398</v>
      </c>
      <c r="N14" s="6">
        <v>0.30444931068953801</v>
      </c>
      <c r="O14" s="6">
        <v>0.28220697140568501</v>
      </c>
      <c r="P14" s="6">
        <v>0.26266884967257897</v>
      </c>
      <c r="Q14" s="6">
        <v>0.245421090277816</v>
      </c>
      <c r="R14" s="6">
        <v>0.23012178309562201</v>
      </c>
      <c r="S14" s="6">
        <v>0.21648743086323999</v>
      </c>
      <c r="T14" s="6">
        <v>0.20428209945384601</v>
      </c>
      <c r="U14" s="6">
        <v>0.19330869884993401</v>
      </c>
      <c r="V14" s="6">
        <v>0.18340195966054099</v>
      </c>
      <c r="W14" s="6">
        <v>0.17442276149271099</v>
      </c>
      <c r="X14" s="6">
        <v>0.166253541303889</v>
      </c>
      <c r="Y14" s="6">
        <v>0.158794566322012</v>
      </c>
      <c r="Z14" s="6">
        <v>0.15196090056698</v>
      </c>
      <c r="AA14" s="6">
        <v>0.14567992904573801</v>
      </c>
      <c r="AB14" s="6">
        <v>0.139889331354763</v>
      </c>
      <c r="AC14" s="6">
        <v>0.13453541829427801</v>
      </c>
      <c r="AD14" s="6">
        <v>0.12957176241712701</v>
      </c>
      <c r="AE14" s="6">
        <v>0.12495806717151201</v>
      </c>
      <c r="AF14" s="6">
        <v>0.12065923020977901</v>
      </c>
      <c r="AG14" s="6">
        <v>0.11664456512039</v>
      </c>
      <c r="AH14" s="6">
        <v>0.112887152764352</v>
      </c>
      <c r="AI14" s="6">
        <v>0.10936329892777499</v>
      </c>
      <c r="AJ14" s="6">
        <v>0.106052079427799</v>
      </c>
      <c r="AK14" s="6">
        <v>0.102934957357616</v>
      </c>
      <c r="AL14" s="6">
        <v>9.9995460007023695E-2</v>
      </c>
      <c r="AM14" s="6">
        <v>9.7218905290079594E-2</v>
      </c>
      <c r="AN14" s="6">
        <v>9.4592169362952394E-2</v>
      </c>
      <c r="AO14" s="6">
        <v>9.2103488612082798E-2</v>
      </c>
      <c r="AP14" s="6">
        <v>8.9742290405806099E-2</v>
      </c>
      <c r="AQ14" s="6">
        <v>8.7499047987730602E-2</v>
      </c>
      <c r="AR14" s="6">
        <v>8.5365155692094505E-2</v>
      </c>
      <c r="AS14">
        <v>8.3332821315637198E-2</v>
      </c>
    </row>
    <row r="15" spans="1:45" x14ac:dyDescent="0.35">
      <c r="B15">
        <v>4</v>
      </c>
      <c r="C15" s="6">
        <v>0.88479686771438104</v>
      </c>
      <c r="D15" s="6">
        <v>0.78693868057473304</v>
      </c>
      <c r="E15" s="6">
        <v>0.70351126301197997</v>
      </c>
      <c r="F15" s="6">
        <v>0.66644340608170505</v>
      </c>
      <c r="G15" s="6">
        <v>0.632120558828558</v>
      </c>
      <c r="H15" s="6">
        <v>0.57079616251184795</v>
      </c>
      <c r="I15" s="6">
        <v>0.51791322656771399</v>
      </c>
      <c r="J15" s="6">
        <v>0.47212917517117398</v>
      </c>
      <c r="K15" s="6">
        <v>0.43233235838169398</v>
      </c>
      <c r="L15" s="6">
        <v>0.39760034463917099</v>
      </c>
      <c r="M15" s="6">
        <v>0.36716600055044002</v>
      </c>
      <c r="N15" s="6">
        <v>0.34038986865210602</v>
      </c>
      <c r="O15" s="6">
        <v>0.31673764387737902</v>
      </c>
      <c r="P15" s="6">
        <v>0.29576178220562399</v>
      </c>
      <c r="Q15" s="6">
        <v>0.277086461879338</v>
      </c>
      <c r="R15" s="6">
        <v>0.260395267771731</v>
      </c>
      <c r="S15" s="6">
        <v>0.245421090277816</v>
      </c>
      <c r="T15" s="6">
        <v>0.23193782731553</v>
      </c>
      <c r="U15" s="6">
        <v>0.21975355632483501</v>
      </c>
      <c r="V15" s="6">
        <v>0.20870490627302701</v>
      </c>
      <c r="W15" s="6">
        <v>0.19865241060018299</v>
      </c>
      <c r="X15" s="6">
        <v>0.18947666316206099</v>
      </c>
      <c r="Y15" s="6">
        <v>0.18107513246573401</v>
      </c>
      <c r="Z15" s="6">
        <v>0.17335951638321601</v>
      </c>
      <c r="AA15" s="6">
        <v>0.166253541303889</v>
      </c>
      <c r="AB15" s="6">
        <v>0.15969112733820401</v>
      </c>
      <c r="AC15" s="6">
        <v>0.15361485550877299</v>
      </c>
      <c r="AD15" s="6">
        <v>0.14797468450062401</v>
      </c>
      <c r="AE15" s="6">
        <v>0.14272687400492101</v>
      </c>
      <c r="AF15" s="6">
        <v>0.13783307939464201</v>
      </c>
      <c r="AG15" s="6">
        <v>0.133259588750647</v>
      </c>
      <c r="AH15" s="6">
        <v>0.128976678381861</v>
      </c>
      <c r="AI15" s="6">
        <v>0.12495806717151201</v>
      </c>
      <c r="AJ15" s="6">
        <v>0.121180453508206</v>
      </c>
      <c r="AK15" s="6">
        <v>0.117623121368352</v>
      </c>
      <c r="AL15" s="6">
        <v>0.114267604419987</v>
      </c>
      <c r="AM15" s="6">
        <v>0.11109739891065699</v>
      </c>
      <c r="AN15" s="6">
        <v>0.10809771765923699</v>
      </c>
      <c r="AO15" s="6">
        <v>0.10525527875474899</v>
      </c>
      <c r="AP15" s="6">
        <v>0.102558123624233</v>
      </c>
      <c r="AQ15" s="6">
        <v>9.9995460007023806E-2</v>
      </c>
      <c r="AR15" s="6">
        <v>9.7557526097478003E-2</v>
      </c>
      <c r="AS15">
        <v>9.5235472719109496E-2</v>
      </c>
    </row>
    <row r="16" spans="1:45" x14ac:dyDescent="0.35">
      <c r="B16">
        <v>4.5</v>
      </c>
      <c r="C16" s="6">
        <v>0.896681686874364</v>
      </c>
      <c r="D16" s="6">
        <v>0.80734412603260197</v>
      </c>
      <c r="E16" s="6">
        <v>0.72987432145111197</v>
      </c>
      <c r="F16" s="6">
        <v>0.69502394052523697</v>
      </c>
      <c r="G16" s="6">
        <v>0.66249867317941402</v>
      </c>
      <c r="H16" s="6">
        <v>0.60372631097288498</v>
      </c>
      <c r="I16" s="6">
        <v>0.55230214641320496</v>
      </c>
      <c r="J16" s="6">
        <v>0.50716794356287098</v>
      </c>
      <c r="K16" s="6">
        <v>0.46743001008408802</v>
      </c>
      <c r="L16" s="6">
        <v>0.43233235838169398</v>
      </c>
      <c r="M16" s="6">
        <v>0.40123438955014701</v>
      </c>
      <c r="N16" s="6">
        <v>0.37359231976066498</v>
      </c>
      <c r="O16" s="6">
        <v>0.34894370579144901</v>
      </c>
      <c r="P16" s="6">
        <v>0.32689453905767002</v>
      </c>
      <c r="Q16" s="6">
        <v>0.30710847013569997</v>
      </c>
      <c r="R16" s="6">
        <v>0.289297801995824</v>
      </c>
      <c r="S16" s="6">
        <v>0.27321595290434503</v>
      </c>
      <c r="T16" s="6">
        <v>0.258651141641143</v>
      </c>
      <c r="U16" s="6">
        <v>0.245421090277816</v>
      </c>
      <c r="V16" s="6">
        <v>0.233368574893454</v>
      </c>
      <c r="W16" s="6">
        <v>0.22235768359717001</v>
      </c>
      <c r="X16" s="6">
        <v>0.21227066516753701</v>
      </c>
      <c r="Y16" s="6">
        <v>0.203005271402253</v>
      </c>
      <c r="Z16" s="6">
        <v>0.19447251263033599</v>
      </c>
      <c r="AA16" s="6">
        <v>0.18659475937615699</v>
      </c>
      <c r="AB16" s="6">
        <v>0.17930413437489501</v>
      </c>
      <c r="AC16" s="6">
        <v>0.17254114842939799</v>
      </c>
      <c r="AD16" s="6">
        <v>0.166253541303889</v>
      </c>
      <c r="AE16" s="6">
        <v>0.16039529524600399</v>
      </c>
      <c r="AF16" s="6">
        <v>0.15492579404222201</v>
      </c>
      <c r="AG16" s="6">
        <v>0.14980910492979899</v>
      </c>
      <c r="AH16" s="6">
        <v>0.14501336436508799</v>
      </c>
      <c r="AI16" s="6">
        <v>0.14051025171069301</v>
      </c>
      <c r="AJ16" s="6">
        <v>0.13627453745729101</v>
      </c>
      <c r="AK16" s="6">
        <v>0.13228369472686199</v>
      </c>
      <c r="AL16" s="6">
        <v>0.128517564584128</v>
      </c>
      <c r="AM16" s="6">
        <v>0.12495806717151201</v>
      </c>
      <c r="AN16" s="6">
        <v>0.12158895192890599</v>
      </c>
      <c r="AO16" s="6">
        <v>0.118395581203651</v>
      </c>
      <c r="AP16" s="6">
        <v>0.11536474243200499</v>
      </c>
      <c r="AQ16" s="6">
        <v>0.11248448480895</v>
      </c>
      <c r="AR16" s="6">
        <v>0.109743976981671</v>
      </c>
      <c r="AS16">
        <v>0.10713338282264399</v>
      </c>
    </row>
    <row r="17" spans="2:45" x14ac:dyDescent="0.35">
      <c r="B17">
        <v>5</v>
      </c>
      <c r="C17" s="6">
        <v>0.90634623461009101</v>
      </c>
      <c r="D17" s="6">
        <v>0.82419988491090201</v>
      </c>
      <c r="E17" s="6">
        <v>0.75198060650995602</v>
      </c>
      <c r="F17" s="6">
        <v>0.71916385172655795</v>
      </c>
      <c r="G17" s="6">
        <v>0.68833879485347305</v>
      </c>
      <c r="H17" s="6">
        <v>0.632120558828558</v>
      </c>
      <c r="I17" s="6">
        <v>0.58233815673983202</v>
      </c>
      <c r="J17" s="6">
        <v>0.53814502575599499</v>
      </c>
      <c r="K17" s="6">
        <v>0.49881467625333997</v>
      </c>
      <c r="L17" s="6">
        <v>0.463722839876896</v>
      </c>
      <c r="M17" s="6">
        <v>0.43233235838169398</v>
      </c>
      <c r="N17" s="6">
        <v>0.40418038256257499</v>
      </c>
      <c r="O17" s="6">
        <v>0.37886751946274499</v>
      </c>
      <c r="P17" s="6">
        <v>0.35604862376371799</v>
      </c>
      <c r="Q17" s="6">
        <v>0.33542497763385098</v>
      </c>
      <c r="R17" s="6">
        <v>0.31673764387737902</v>
      </c>
      <c r="S17" s="6">
        <v>0.29976181125676099</v>
      </c>
      <c r="T17" s="6">
        <v>0.28430197942343399</v>
      </c>
      <c r="U17" s="6">
        <v>0.27018785487575198</v>
      </c>
      <c r="V17" s="6">
        <v>0.257270849511535</v>
      </c>
      <c r="W17" s="6">
        <v>0.245421090277816</v>
      </c>
      <c r="X17" s="6">
        <v>0.23452486266179101</v>
      </c>
      <c r="Y17" s="6">
        <v>0.224482422749303</v>
      </c>
      <c r="Z17" s="6">
        <v>0.21520612266420999</v>
      </c>
      <c r="AA17" s="6">
        <v>0.206618802698121</v>
      </c>
      <c r="AB17" s="6">
        <v>0.19865241060018299</v>
      </c>
      <c r="AC17" s="6">
        <v>0.19124681453446901</v>
      </c>
      <c r="AD17" s="6">
        <v>0.184348781306924</v>
      </c>
      <c r="AE17" s="6">
        <v>0.17791109576491401</v>
      </c>
      <c r="AF17" s="6">
        <v>0.17189180090597</v>
      </c>
      <c r="AG17" s="6">
        <v>0.166253541303889</v>
      </c>
      <c r="AH17" s="6">
        <v>0.16096299505866199</v>
      </c>
      <c r="AI17" s="6">
        <v>0.15599038167606699</v>
      </c>
      <c r="AJ17" s="6">
        <v>0.151309035145826</v>
      </c>
      <c r="AK17" s="6">
        <v>0.14689503306649301</v>
      </c>
      <c r="AL17" s="6">
        <v>0.14272687400492101</v>
      </c>
      <c r="AM17" s="6">
        <v>0.13878519641550299</v>
      </c>
      <c r="AN17" s="6">
        <v>0.13505253341065801</v>
      </c>
      <c r="AO17" s="6">
        <v>0.1315130984956</v>
      </c>
      <c r="AP17" s="6">
        <v>0.12815259807961801</v>
      </c>
      <c r="AQ17" s="6">
        <v>0.12495806717151201</v>
      </c>
      <c r="AR17" s="6">
        <v>0.121917725174394</v>
      </c>
      <c r="AS17">
        <v>0.11902084912807399</v>
      </c>
    </row>
    <row r="18" spans="2:45" x14ac:dyDescent="0.35">
      <c r="B18">
        <v>5.5</v>
      </c>
      <c r="C18" s="6">
        <v>0.91435895058650696</v>
      </c>
      <c r="D18" s="6">
        <v>0.83835419690308399</v>
      </c>
      <c r="E18" s="6">
        <v>0.77077315556118198</v>
      </c>
      <c r="F18" s="6">
        <v>0.73980760621420705</v>
      </c>
      <c r="G18" s="6">
        <v>0.71056551336398999</v>
      </c>
      <c r="H18" s="6">
        <v>0.656820646317954</v>
      </c>
      <c r="I18" s="6">
        <v>0.60874826719743402</v>
      </c>
      <c r="J18" s="6">
        <v>0.56566183078299004</v>
      </c>
      <c r="K18" s="6">
        <v>0.52696429562499703</v>
      </c>
      <c r="L18" s="6">
        <v>0.49213590046407701</v>
      </c>
      <c r="M18" s="6">
        <v>0.46072366384998398</v>
      </c>
      <c r="N18" s="6">
        <v>0.43233235838169398</v>
      </c>
      <c r="O18" s="6">
        <v>0.40661674747968202</v>
      </c>
      <c r="P18" s="6">
        <v>0.38327490365996902</v>
      </c>
      <c r="Q18" s="6">
        <v>0.36204245372541299</v>
      </c>
      <c r="R18" s="6">
        <v>0.34268761881571802</v>
      </c>
      <c r="S18" s="6">
        <v>0.32500693645150702</v>
      </c>
      <c r="T18" s="6">
        <v>0.30882156806849398</v>
      </c>
      <c r="U18" s="6">
        <v>0.29397410948859598</v>
      </c>
      <c r="V18" s="6">
        <v>0.28032583367529301</v>
      </c>
      <c r="W18" s="6">
        <v>0.267754305276027</v>
      </c>
      <c r="X18" s="6">
        <v>0.25615131512419498</v>
      </c>
      <c r="Y18" s="6">
        <v>0.245421090277816</v>
      </c>
      <c r="Z18" s="6">
        <v>0.23547874149850401</v>
      </c>
      <c r="AA18" s="6">
        <v>0.22624891548227599</v>
      </c>
      <c r="AB18" s="6">
        <v>0.21766462377836501</v>
      </c>
      <c r="AC18" s="6">
        <v>0.20966622428885401</v>
      </c>
      <c r="AD18" s="6">
        <v>0.20220053462870699</v>
      </c>
      <c r="AE18" s="6">
        <v>0.195220059526027</v>
      </c>
      <c r="AF18" s="6">
        <v>0.18868231692731999</v>
      </c>
      <c r="AG18" s="6">
        <v>0.18254924960264499</v>
      </c>
      <c r="AH18" s="6">
        <v>0.17678671087244199</v>
      </c>
      <c r="AI18" s="6">
        <v>0.17136401464555201</v>
      </c>
      <c r="AJ18" s="6">
        <v>0.166253541303889</v>
      </c>
      <c r="AK18" s="6">
        <v>0.16143039212551</v>
      </c>
      <c r="AL18" s="6">
        <v>0.156872085931689</v>
      </c>
      <c r="AM18" s="6">
        <v>0.15255829249832001</v>
      </c>
      <c r="AN18" s="6">
        <v>0.14847059800756701</v>
      </c>
      <c r="AO18" s="6">
        <v>0.14459229844900101</v>
      </c>
      <c r="AP18" s="6">
        <v>0.14090821742519199</v>
      </c>
      <c r="AQ18" s="6">
        <v>0.13740454528721299</v>
      </c>
      <c r="AR18" s="6">
        <v>0.13406869693138501</v>
      </c>
      <c r="AS18">
        <v>0.13088918593901799</v>
      </c>
    </row>
    <row r="19" spans="2:45" x14ac:dyDescent="0.35">
      <c r="B19">
        <v>6</v>
      </c>
      <c r="C19" s="6">
        <v>0.921109650656316</v>
      </c>
      <c r="D19" s="6">
        <v>0.85040606827863197</v>
      </c>
      <c r="E19" s="6">
        <v>0.78693868057473304</v>
      </c>
      <c r="F19" s="6">
        <v>0.75765403582277602</v>
      </c>
      <c r="G19" s="6">
        <v>0.72987432145111197</v>
      </c>
      <c r="H19" s="6">
        <v>0.67848214979150601</v>
      </c>
      <c r="I19" s="6">
        <v>0.632120558828558</v>
      </c>
      <c r="J19" s="6">
        <v>0.59022580807320202</v>
      </c>
      <c r="K19" s="6">
        <v>0.55230214641320496</v>
      </c>
      <c r="L19" s="6">
        <v>0.51791322656771299</v>
      </c>
      <c r="M19" s="6">
        <v>0.48667463829746299</v>
      </c>
      <c r="N19" s="6">
        <v>0.45824741122925799</v>
      </c>
      <c r="O19" s="6">
        <v>0.43233235838169398</v>
      </c>
      <c r="P19" s="6">
        <v>0.408665148926452</v>
      </c>
      <c r="Q19" s="6">
        <v>0.38701201377239802</v>
      </c>
      <c r="R19" s="6">
        <v>0.36716600055044002</v>
      </c>
      <c r="S19" s="6">
        <v>0.34894370579144901</v>
      </c>
      <c r="T19" s="6">
        <v>0.33218242177326002</v>
      </c>
      <c r="U19" s="6">
        <v>0.31673764387737902</v>
      </c>
      <c r="V19" s="6">
        <v>0.30248089152338598</v>
      </c>
      <c r="W19" s="6">
        <v>0.289297801995824</v>
      </c>
      <c r="X19" s="6">
        <v>0.277086461879338</v>
      </c>
      <c r="Y19" s="6">
        <v>0.265755945489134</v>
      </c>
      <c r="Z19" s="6">
        <v>0.25522503372534999</v>
      </c>
      <c r="AA19" s="6">
        <v>0.245421090277817</v>
      </c>
      <c r="AB19" s="6">
        <v>0.236279075136238</v>
      </c>
      <c r="AC19" s="6">
        <v>0.227740677983783</v>
      </c>
      <c r="AD19" s="6">
        <v>0.21975355632483501</v>
      </c>
      <c r="AE19" s="6">
        <v>0.21227066516753701</v>
      </c>
      <c r="AF19" s="6">
        <v>0.20524966678992301</v>
      </c>
      <c r="AG19" s="6">
        <v>0.19865241060018299</v>
      </c>
      <c r="AH19" s="6">
        <v>0.192444474387482</v>
      </c>
      <c r="AI19" s="6">
        <v>0.18659475937615699</v>
      </c>
      <c r="AJ19" s="6">
        <v>0.18107513246573401</v>
      </c>
      <c r="AK19" s="6">
        <v>0.17586010988180001</v>
      </c>
      <c r="AL19" s="6">
        <v>0.17092657719517401</v>
      </c>
      <c r="AM19" s="6">
        <v>0.166253541303889</v>
      </c>
      <c r="AN19" s="6">
        <v>0.16182191052679801</v>
      </c>
      <c r="AO19" s="6">
        <v>0.15761429944014699</v>
      </c>
      <c r="AP19" s="6">
        <v>0.15361485550877299</v>
      </c>
      <c r="AQ19" s="6">
        <v>0.14980910492979899</v>
      </c>
      <c r="AR19" s="6">
        <v>0.14618381542605199</v>
      </c>
      <c r="AS19">
        <v>0.14272687400492101</v>
      </c>
    </row>
    <row r="20" spans="2:45" x14ac:dyDescent="0.35">
      <c r="B20">
        <v>6.5</v>
      </c>
      <c r="C20" s="6">
        <v>0.926874525457132</v>
      </c>
      <c r="D20" s="6">
        <v>0.86079018807702501</v>
      </c>
      <c r="E20" s="6">
        <v>0.80098809570710705</v>
      </c>
      <c r="F20" s="6">
        <v>0.77322982630479098</v>
      </c>
      <c r="G20" s="6">
        <v>0.74679638070938203</v>
      </c>
      <c r="H20" s="6">
        <v>0.69761981999947198</v>
      </c>
      <c r="I20" s="6">
        <v>0.65293072736914604</v>
      </c>
      <c r="J20" s="6">
        <v>0.612260958996662</v>
      </c>
      <c r="K20" s="6">
        <v>0.57519489325072604</v>
      </c>
      <c r="L20" s="6">
        <v>0.54136326349900898</v>
      </c>
      <c r="M20" s="6">
        <v>0.51043773797789704</v>
      </c>
      <c r="N20" s="6">
        <v>0.48212615415941101</v>
      </c>
      <c r="O20" s="6">
        <v>0.45616832671862201</v>
      </c>
      <c r="P20" s="6">
        <v>0.43233235838169398</v>
      </c>
      <c r="Q20" s="6">
        <v>0.41041139181354003</v>
      </c>
      <c r="R20" s="6">
        <v>0.39022074845222798</v>
      </c>
      <c r="S20" s="6">
        <v>0.37159540696044002</v>
      </c>
      <c r="T20" s="6">
        <v>0.35438777986914999</v>
      </c>
      <c r="U20" s="6">
        <v>0.33846575214541902</v>
      </c>
      <c r="V20" s="6">
        <v>0.32371094992086102</v>
      </c>
      <c r="W20" s="6">
        <v>0.31001721155328799</v>
      </c>
      <c r="X20" s="6">
        <v>0.29728923663412998</v>
      </c>
      <c r="Y20" s="6">
        <v>0.28544139156171999</v>
      </c>
      <c r="Z20" s="6">
        <v>0.27439665293047699</v>
      </c>
      <c r="AA20" s="6">
        <v>0.264085672286683</v>
      </c>
      <c r="AB20" s="6">
        <v>0.25444594781449797</v>
      </c>
      <c r="AC20" s="6">
        <v>0.245421090277816</v>
      </c>
      <c r="AD20" s="6">
        <v>0.23696017208617301</v>
      </c>
      <c r="AE20" s="6">
        <v>0.22901714970395701</v>
      </c>
      <c r="AF20" s="6">
        <v>0.221550350805816</v>
      </c>
      <c r="AG20" s="6">
        <v>0.214522018618439</v>
      </c>
      <c r="AH20" s="6">
        <v>0.20789790679828701</v>
      </c>
      <c r="AI20" s="6">
        <v>0.20164691899232301</v>
      </c>
      <c r="AJ20" s="6">
        <v>0.19574078792841801</v>
      </c>
      <c r="AK20" s="6">
        <v>0.190153789496077</v>
      </c>
      <c r="AL20" s="6">
        <v>0.18486248781714601</v>
      </c>
      <c r="AM20" s="6">
        <v>0.17984550777953001</v>
      </c>
      <c r="AN20" s="6">
        <v>0.175083331922854</v>
      </c>
      <c r="AO20" s="6">
        <v>0.17055811893050299</v>
      </c>
      <c r="AP20" s="6">
        <v>0.166253541303889</v>
      </c>
      <c r="AQ20" s="6">
        <v>0.16215464007747901</v>
      </c>
      <c r="AR20" s="6">
        <v>0.158247694681863</v>
      </c>
      <c r="AS20">
        <v>0.154520106281162</v>
      </c>
    </row>
    <row r="21" spans="2:45" x14ac:dyDescent="0.35">
      <c r="B21">
        <v>7</v>
      </c>
      <c r="C21" s="6">
        <v>0.93185470174872898</v>
      </c>
      <c r="D21" s="6">
        <v>0.86982947423649903</v>
      </c>
      <c r="E21" s="6">
        <v>0.81330886576087003</v>
      </c>
      <c r="F21" s="6">
        <v>0.78693868057473304</v>
      </c>
      <c r="G21" s="6">
        <v>0.76174328648642098</v>
      </c>
      <c r="H21" s="6">
        <v>0.71464167662026601</v>
      </c>
      <c r="I21" s="6">
        <v>0.67156501337689201</v>
      </c>
      <c r="J21" s="6">
        <v>0.632120558828558</v>
      </c>
      <c r="K21" s="6">
        <v>0.59595676234152595</v>
      </c>
      <c r="L21" s="6">
        <v>0.562758741510339</v>
      </c>
      <c r="M21" s="6">
        <v>0.53224427449075695</v>
      </c>
      <c r="N21" s="6">
        <v>0.50416024454498098</v>
      </c>
      <c r="O21" s="6">
        <v>0.47827948458036101</v>
      </c>
      <c r="P21" s="6">
        <v>0.45439797559909201</v>
      </c>
      <c r="Q21" s="6">
        <v>0.43233235838169398</v>
      </c>
      <c r="R21" s="6">
        <v>0.41191772248934999</v>
      </c>
      <c r="S21" s="6">
        <v>0.39300564086690098</v>
      </c>
      <c r="T21" s="6">
        <v>0.37546242202726499</v>
      </c>
      <c r="U21" s="6">
        <v>0.35916755505914599</v>
      </c>
      <c r="V21" s="6">
        <v>0.344012325575483</v>
      </c>
      <c r="W21" s="6">
        <v>0.32989858325633398</v>
      </c>
      <c r="X21" s="6">
        <v>0.31673764387737902</v>
      </c>
      <c r="Y21" s="6">
        <v>0.30444931068953801</v>
      </c>
      <c r="Z21" s="6">
        <v>0.29296100175779799</v>
      </c>
      <c r="AA21" s="6">
        <v>0.28220697140568501</v>
      </c>
      <c r="AB21" s="6">
        <v>0.272127615270288</v>
      </c>
      <c r="AC21" s="6">
        <v>0.26266884967257897</v>
      </c>
      <c r="AD21" s="6">
        <v>0.253781557067841</v>
      </c>
      <c r="AE21" s="6">
        <v>0.245421090277816</v>
      </c>
      <c r="AF21" s="6">
        <v>0.23754682903423699</v>
      </c>
      <c r="AG21" s="6">
        <v>0.23012178309562201</v>
      </c>
      <c r="AH21" s="6">
        <v>0.22311223684676501</v>
      </c>
      <c r="AI21" s="6">
        <v>0.21648743086323999</v>
      </c>
      <c r="AJ21" s="6">
        <v>0.21021927643024099</v>
      </c>
      <c r="AK21" s="6">
        <v>0.20428209945384601</v>
      </c>
      <c r="AL21" s="6">
        <v>0.19865241060018299</v>
      </c>
      <c r="AM21" s="6">
        <v>0.19330869884993401</v>
      </c>
      <c r="AN21" s="6">
        <v>0.18823124596750501</v>
      </c>
      <c r="AO21" s="6">
        <v>0.18340195966054099</v>
      </c>
      <c r="AP21" s="6">
        <v>0.178804223450549</v>
      </c>
      <c r="AQ21" s="6">
        <v>0.17442276149271099</v>
      </c>
      <c r="AR21" s="6">
        <v>0.170243516775752</v>
      </c>
      <c r="AS21">
        <v>0.166253541303889</v>
      </c>
    </row>
    <row r="22" spans="2:45" x14ac:dyDescent="0.35">
      <c r="B22">
        <v>7.5</v>
      </c>
      <c r="C22" s="6">
        <v>0.93620010717789404</v>
      </c>
      <c r="D22" s="6">
        <v>0.87776873113256704</v>
      </c>
      <c r="E22" s="6">
        <v>0.82419988491090201</v>
      </c>
      <c r="F22" s="6">
        <v>0.79909481727202303</v>
      </c>
      <c r="G22" s="6">
        <v>0.77503833841868996</v>
      </c>
      <c r="H22" s="6">
        <v>0.72987432145111197</v>
      </c>
      <c r="I22" s="6">
        <v>0.68833879485347305</v>
      </c>
      <c r="J22" s="6">
        <v>0.65009922764078798</v>
      </c>
      <c r="K22" s="6">
        <v>0.61485582481367596</v>
      </c>
      <c r="L22" s="6">
        <v>0.58233815673983202</v>
      </c>
      <c r="M22" s="6">
        <v>0.55230214641320496</v>
      </c>
      <c r="N22" s="6">
        <v>0.52452737573525299</v>
      </c>
      <c r="O22" s="6">
        <v>0.49881467625333997</v>
      </c>
      <c r="P22" s="6">
        <v>0.47498397360196298</v>
      </c>
      <c r="Q22" s="6">
        <v>0.45287235827718503</v>
      </c>
      <c r="R22" s="6">
        <v>0.43233235838169398</v>
      </c>
      <c r="S22" s="6">
        <v>0.41323039264978001</v>
      </c>
      <c r="T22" s="6">
        <v>0.39544538443609101</v>
      </c>
      <c r="U22" s="6">
        <v>0.37886751946274499</v>
      </c>
      <c r="V22" s="6">
        <v>0.36339713199589002</v>
      </c>
      <c r="W22" s="6">
        <v>0.34894370579144901</v>
      </c>
      <c r="X22" s="6">
        <v>0.33542497763385098</v>
      </c>
      <c r="Y22" s="6">
        <v>0.32276613261173098</v>
      </c>
      <c r="Z22" s="6">
        <v>0.31089908144922301</v>
      </c>
      <c r="AA22" s="6">
        <v>0.29976181125676099</v>
      </c>
      <c r="AB22" s="6">
        <v>0.289297801995824</v>
      </c>
      <c r="AC22" s="6">
        <v>0.27945550178041401</v>
      </c>
      <c r="AD22" s="6">
        <v>0.27018785487575198</v>
      </c>
      <c r="AE22" s="6">
        <v>0.26145187691174898</v>
      </c>
      <c r="AF22" s="6">
        <v>0.25320827241414001</v>
      </c>
      <c r="AG22" s="6">
        <v>0.245421090277816</v>
      </c>
      <c r="AH22" s="6">
        <v>0.23805741327177901</v>
      </c>
      <c r="AI22" s="6">
        <v>0.23108707807965601</v>
      </c>
      <c r="AJ22" s="6">
        <v>0.224482422749303</v>
      </c>
      <c r="AK22" s="6">
        <v>0.21821805875470901</v>
      </c>
      <c r="AL22" s="6">
        <v>0.21227066516753701</v>
      </c>
      <c r="AM22" s="6">
        <v>0.206618802698121</v>
      </c>
      <c r="AN22" s="6">
        <v>0.20124274560004601</v>
      </c>
      <c r="AO22" s="6">
        <v>0.19612432964162799</v>
      </c>
      <c r="AP22" s="6">
        <v>0.19124681453446901</v>
      </c>
      <c r="AQ22" s="6">
        <v>0.18659475937615699</v>
      </c>
      <c r="AR22" s="6">
        <v>0.18215390981336399</v>
      </c>
      <c r="AS22">
        <v>0.17791109576491401</v>
      </c>
    </row>
    <row r="23" spans="2:45" x14ac:dyDescent="0.35">
      <c r="B23">
        <v>8</v>
      </c>
      <c r="C23" s="6">
        <v>0.94002477932323703</v>
      </c>
      <c r="D23" s="6">
        <v>0.88479686771438104</v>
      </c>
      <c r="E23" s="6">
        <v>0.83389525655740704</v>
      </c>
      <c r="F23" s="6">
        <v>0.80994622530767502</v>
      </c>
      <c r="G23" s="6">
        <v>0.78693868057473304</v>
      </c>
      <c r="H23" s="6">
        <v>0.74358171436961595</v>
      </c>
      <c r="I23" s="6">
        <v>0.70351126301197997</v>
      </c>
      <c r="J23" s="6">
        <v>0.66644340608170505</v>
      </c>
      <c r="K23" s="6">
        <v>0.632120558828558</v>
      </c>
      <c r="L23" s="6">
        <v>0.60030891790368901</v>
      </c>
      <c r="M23" s="6">
        <v>0.57079616251184795</v>
      </c>
      <c r="N23" s="6">
        <v>0.54338938486927502</v>
      </c>
      <c r="O23" s="6">
        <v>0.51791322656771399</v>
      </c>
      <c r="P23" s="6">
        <v>0.494208199874342</v>
      </c>
      <c r="Q23" s="6">
        <v>0.47212917517117398</v>
      </c>
      <c r="R23" s="6">
        <v>0.45154401768270502</v>
      </c>
      <c r="S23" s="6">
        <v>0.43233235838169398</v>
      </c>
      <c r="T23" s="6">
        <v>0.414384485521544</v>
      </c>
      <c r="U23" s="6">
        <v>0.39760034463917099</v>
      </c>
      <c r="V23" s="6">
        <v>0.381888636121826</v>
      </c>
      <c r="W23" s="6">
        <v>0.36716600055044002</v>
      </c>
      <c r="X23" s="6">
        <v>0.35335628303457101</v>
      </c>
      <c r="Y23" s="6">
        <v>0.34038986865210602</v>
      </c>
      <c r="Z23" s="6">
        <v>0.32820308191172998</v>
      </c>
      <c r="AA23" s="6">
        <v>0.31673764387737902</v>
      </c>
      <c r="AB23" s="6">
        <v>0.30594018124050998</v>
      </c>
      <c r="AC23" s="6">
        <v>0.29576178220562399</v>
      </c>
      <c r="AD23" s="6">
        <v>0.28615759457432099</v>
      </c>
      <c r="AE23" s="6">
        <v>0.277086461879338</v>
      </c>
      <c r="AF23" s="6">
        <v>0.26851059383824699</v>
      </c>
      <c r="AG23" s="6">
        <v>0.260395267771731</v>
      </c>
      <c r="AH23" s="6">
        <v>0.25270855796807701</v>
      </c>
      <c r="AI23" s="6">
        <v>0.245421090277816</v>
      </c>
      <c r="AJ23" s="6">
        <v>0.238505819493778</v>
      </c>
      <c r="AK23" s="6">
        <v>0.23193782731553</v>
      </c>
      <c r="AL23" s="6">
        <v>0.225694138916015</v>
      </c>
      <c r="AM23" s="6">
        <v>0.21975355632483501</v>
      </c>
      <c r="AN23" s="6">
        <v>0.21409650701928201</v>
      </c>
      <c r="AO23" s="6">
        <v>0.20870490627302701</v>
      </c>
      <c r="AP23" s="6">
        <v>0.203562031955106</v>
      </c>
      <c r="AQ23" s="6">
        <v>0.19865241060018299</v>
      </c>
      <c r="AR23" s="6">
        <v>0.193961713686542</v>
      </c>
      <c r="AS23">
        <v>0.18947666316206099</v>
      </c>
    </row>
    <row r="24" spans="2:45" x14ac:dyDescent="0.35">
      <c r="B24">
        <v>8.5</v>
      </c>
      <c r="C24" s="6">
        <v>0.943416994076407</v>
      </c>
      <c r="D24" s="6">
        <v>0.89106195732863303</v>
      </c>
      <c r="E24" s="6">
        <v>0.84258085245484604</v>
      </c>
      <c r="F24" s="6">
        <v>0.81969109975760801</v>
      </c>
      <c r="G24" s="6">
        <v>0.79765120299941705</v>
      </c>
      <c r="H24" s="6">
        <v>0.75597916589668401</v>
      </c>
      <c r="I24" s="6">
        <v>0.71729688311539896</v>
      </c>
      <c r="J24" s="6">
        <v>0.68136008525311198</v>
      </c>
      <c r="K24" s="6">
        <v>0.64794592261202499</v>
      </c>
      <c r="L24" s="6">
        <v>0.61685100170182405</v>
      </c>
      <c r="M24" s="6">
        <v>0.58788960728790596</v>
      </c>
      <c r="N24" s="6">
        <v>0.56089209205944701</v>
      </c>
      <c r="O24" s="6">
        <v>0.53570341775290498</v>
      </c>
      <c r="P24" s="6">
        <v>0.51218183315231602</v>
      </c>
      <c r="Q24" s="6">
        <v>0.49019767581588303</v>
      </c>
      <c r="R24" s="6">
        <v>0.46963228566462001</v>
      </c>
      <c r="S24" s="6">
        <v>0.45037701972753202</v>
      </c>
      <c r="T24" s="6">
        <v>0.43233235838169398</v>
      </c>
      <c r="U24" s="6">
        <v>0.41540709436624201</v>
      </c>
      <c r="V24" s="6">
        <v>0.39951759669692999</v>
      </c>
      <c r="W24" s="6">
        <v>0.38458714237194802</v>
      </c>
      <c r="X24" s="6">
        <v>0.37054530944840902</v>
      </c>
      <c r="Y24" s="6">
        <v>0.35732742568985598</v>
      </c>
      <c r="Z24" s="6">
        <v>0.34487406754503303</v>
      </c>
      <c r="AA24" s="6">
        <v>0.33313060472315698</v>
      </c>
      <c r="AB24" s="6">
        <v>0.32204678608633802</v>
      </c>
      <c r="AC24" s="6">
        <v>0.31157636299075903</v>
      </c>
      <c r="AD24" s="6">
        <v>0.30167674657890697</v>
      </c>
      <c r="AE24" s="6">
        <v>0.29230869585975899</v>
      </c>
      <c r="AF24" s="6">
        <v>0.28343603371578302</v>
      </c>
      <c r="AG24" s="6">
        <v>0.27502538824822997</v>
      </c>
      <c r="AH24" s="6">
        <v>0.26704595711830298</v>
      </c>
      <c r="AI24" s="6">
        <v>0.25946929276409297</v>
      </c>
      <c r="AJ24" s="6">
        <v>0.25226910657388402</v>
      </c>
      <c r="AK24" s="6">
        <v>0.245421090277816</v>
      </c>
      <c r="AL24" s="6">
        <v>0.23890275298373601</v>
      </c>
      <c r="AM24" s="6">
        <v>0.23269327243115501</v>
      </c>
      <c r="AN24" s="6">
        <v>0.22677335917108499</v>
      </c>
      <c r="AO24" s="6">
        <v>0.22112513250049901</v>
      </c>
      <c r="AP24" s="6">
        <v>0.215732007089631</v>
      </c>
      <c r="AQ24" s="6">
        <v>0.210578589339217</v>
      </c>
      <c r="AR24" s="6">
        <v>0.20565058259435601</v>
      </c>
      <c r="AS24">
        <v>0.200934700422611</v>
      </c>
    </row>
    <row r="25" spans="2:45" x14ac:dyDescent="0.35">
      <c r="B25">
        <v>9</v>
      </c>
      <c r="C25" s="6">
        <v>0.94644614867067201</v>
      </c>
      <c r="D25" s="6">
        <v>0.896681686874364</v>
      </c>
      <c r="E25" s="6">
        <v>0.85040606827863197</v>
      </c>
      <c r="F25" s="6">
        <v>0.82848965655741302</v>
      </c>
      <c r="G25" s="6">
        <v>0.80734412603260197</v>
      </c>
      <c r="H25" s="6">
        <v>0.76724384267262102</v>
      </c>
      <c r="I25" s="6">
        <v>0.72987432145111197</v>
      </c>
      <c r="J25" s="6">
        <v>0.69502394052523697</v>
      </c>
      <c r="K25" s="6">
        <v>0.66249867317941402</v>
      </c>
      <c r="L25" s="6">
        <v>0.632120558828558</v>
      </c>
      <c r="M25" s="6">
        <v>0.60372631097288498</v>
      </c>
      <c r="N25" s="6">
        <v>0.57716604956445805</v>
      </c>
      <c r="O25" s="6">
        <v>0.55230214641320496</v>
      </c>
      <c r="P25" s="6">
        <v>0.52900817331759198</v>
      </c>
      <c r="Q25" s="6">
        <v>0.50716794356287098</v>
      </c>
      <c r="R25" s="6">
        <v>0.48667463829746299</v>
      </c>
      <c r="S25" s="6">
        <v>0.46743001008408802</v>
      </c>
      <c r="T25" s="6">
        <v>0.44934365663444298</v>
      </c>
      <c r="U25" s="6">
        <v>0.43233235838169398</v>
      </c>
      <c r="V25" s="6">
        <v>0.41631947412994902</v>
      </c>
      <c r="W25" s="6">
        <v>0.40123438955014701</v>
      </c>
      <c r="X25" s="6">
        <v>0.38701201377239802</v>
      </c>
      <c r="Y25" s="6">
        <v>0.37359231976066498</v>
      </c>
      <c r="Z25" s="6">
        <v>0.36091992455081401</v>
      </c>
      <c r="AA25" s="6">
        <v>0.34894370579144901</v>
      </c>
      <c r="AB25" s="6">
        <v>0.33761645135203799</v>
      </c>
      <c r="AC25" s="6">
        <v>0.32689453905767002</v>
      </c>
      <c r="AD25" s="6">
        <v>0.31673764387737902</v>
      </c>
      <c r="AE25" s="6">
        <v>0.30710847013569997</v>
      </c>
      <c r="AF25" s="6">
        <v>0.29797250653746499</v>
      </c>
      <c r="AG25" s="6">
        <v>0.289297801995824</v>
      </c>
      <c r="AH25" s="6">
        <v>0.28105476043503003</v>
      </c>
      <c r="AI25" s="6">
        <v>0.27321595290434503</v>
      </c>
      <c r="AJ25" s="6">
        <v>0.265755945489134</v>
      </c>
      <c r="AK25" s="6">
        <v>0.258651141641143</v>
      </c>
      <c r="AL25" s="6">
        <v>0.25187963767345301</v>
      </c>
      <c r="AM25" s="6">
        <v>0.245421090277816</v>
      </c>
      <c r="AN25" s="6">
        <v>0.23925659502400201</v>
      </c>
      <c r="AO25" s="6">
        <v>0.233368574893454</v>
      </c>
      <c r="AP25" s="6">
        <v>0.227740677983783</v>
      </c>
      <c r="AQ25" s="6">
        <v>0.22235768359717001</v>
      </c>
      <c r="AR25" s="6">
        <v>0.217205415995399</v>
      </c>
      <c r="AS25">
        <v>0.21227066516753701</v>
      </c>
    </row>
    <row r="26" spans="2:45" x14ac:dyDescent="0.35">
      <c r="B26">
        <v>9.5</v>
      </c>
      <c r="C26" s="6">
        <v>0.94916755060353697</v>
      </c>
      <c r="D26" s="6">
        <v>0.90175075907097302</v>
      </c>
      <c r="E26" s="6">
        <v>0.85749231700342199</v>
      </c>
      <c r="F26" s="6">
        <v>0.83647275998002502</v>
      </c>
      <c r="G26" s="6">
        <v>0.81615555575675502</v>
      </c>
      <c r="H26" s="6">
        <v>0.77752272358765995</v>
      </c>
      <c r="I26" s="6">
        <v>0.74139341062659603</v>
      </c>
      <c r="J26" s="6">
        <v>0.70758310873475605</v>
      </c>
      <c r="K26" s="6">
        <v>0.67592189445304596</v>
      </c>
      <c r="L26" s="6">
        <v>0.64625322429832399</v>
      </c>
      <c r="M26" s="6">
        <v>0.61843283261524595</v>
      </c>
      <c r="N26" s="6">
        <v>0.59232772305951897</v>
      </c>
      <c r="O26" s="6">
        <v>0.567815245578006</v>
      </c>
      <c r="P26" s="6">
        <v>0.54478225146994996</v>
      </c>
      <c r="Q26" s="6">
        <v>0.52312431976806195</v>
      </c>
      <c r="R26" s="6">
        <v>0.50274504877410797</v>
      </c>
      <c r="S26" s="6">
        <v>0.48355540712631101</v>
      </c>
      <c r="T26" s="6">
        <v>0.46547313927010597</v>
      </c>
      <c r="U26" s="6">
        <v>0.44842222065391202</v>
      </c>
      <c r="V26" s="6">
        <v>0.43233235838169398</v>
      </c>
      <c r="W26" s="6">
        <v>0.41713853342760598</v>
      </c>
      <c r="X26" s="6">
        <v>0.40278058085845603</v>
      </c>
      <c r="Y26" s="6">
        <v>0.38920280481985498</v>
      </c>
      <c r="Z26" s="6">
        <v>0.37635362532461197</v>
      </c>
      <c r="AA26" s="6">
        <v>0.36418525413959901</v>
      </c>
      <c r="AB26" s="6">
        <v>0.35265339730214501</v>
      </c>
      <c r="AC26" s="6">
        <v>0.34171698201117701</v>
      </c>
      <c r="AD26" s="6">
        <v>0.33133790583352701</v>
      </c>
      <c r="AE26" s="6">
        <v>0.32148080634389498</v>
      </c>
      <c r="AF26" s="6">
        <v>0.312112849479318</v>
      </c>
      <c r="AG26" s="6">
        <v>0.30320353503709702</v>
      </c>
      <c r="AH26" s="6">
        <v>0.29472451788027698</v>
      </c>
      <c r="AI26" s="6">
        <v>0.28664944353802302</v>
      </c>
      <c r="AJ26" s="6">
        <v>0.27895379700075701</v>
      </c>
      <c r="AK26" s="6">
        <v>0.27161476361255599</v>
      </c>
      <c r="AL26" s="6">
        <v>0.26461110105704999</v>
      </c>
      <c r="AM26" s="6">
        <v>0.25792302151857799</v>
      </c>
      <c r="AN26" s="6">
        <v>0.25153208317849601</v>
      </c>
      <c r="AO26" s="6">
        <v>0.245421090277816</v>
      </c>
      <c r="AP26" s="6">
        <v>0.23957400104253301</v>
      </c>
      <c r="AQ26" s="6">
        <v>0.233975842827465</v>
      </c>
      <c r="AR26" s="6">
        <v>0.228612633888813</v>
      </c>
      <c r="AS26">
        <v>0.22347131124528899</v>
      </c>
    </row>
    <row r="27" spans="2:45" x14ac:dyDescent="0.35">
      <c r="B27">
        <v>10</v>
      </c>
      <c r="C27" s="6">
        <v>0.95162581964040405</v>
      </c>
      <c r="D27" s="6">
        <v>0.90634623461009101</v>
      </c>
      <c r="E27" s="6">
        <v>0.86393926439427404</v>
      </c>
      <c r="F27" s="6">
        <v>0.84374831508938997</v>
      </c>
      <c r="G27" s="6">
        <v>0.82419988491090201</v>
      </c>
      <c r="H27" s="6">
        <v>0.78693868057473304</v>
      </c>
      <c r="I27" s="6">
        <v>0.75198060650995602</v>
      </c>
      <c r="J27" s="6">
        <v>0.71916385172655795</v>
      </c>
      <c r="K27" s="6">
        <v>0.68833879485347305</v>
      </c>
      <c r="L27" s="6">
        <v>0.65936704473266805</v>
      </c>
      <c r="M27" s="6">
        <v>0.632120558828558</v>
      </c>
      <c r="N27" s="6">
        <v>0.60648083300174604</v>
      </c>
      <c r="O27" s="6">
        <v>0.58233815673983202</v>
      </c>
      <c r="P27" s="6">
        <v>0.55959092843537495</v>
      </c>
      <c r="Q27" s="6">
        <v>0.53814502575599499</v>
      </c>
      <c r="R27" s="6">
        <v>0.51791322656771299</v>
      </c>
      <c r="S27" s="6">
        <v>0.49881467625333997</v>
      </c>
      <c r="T27" s="6">
        <v>0.48077439761603802</v>
      </c>
      <c r="U27" s="6">
        <v>0.463722839876896</v>
      </c>
      <c r="V27" s="6">
        <v>0.447595463567034</v>
      </c>
      <c r="W27" s="6">
        <v>0.43233235838169398</v>
      </c>
      <c r="X27" s="6">
        <v>0.41787789130810399</v>
      </c>
      <c r="Y27" s="6">
        <v>0.40418038256257499</v>
      </c>
      <c r="Z27" s="6">
        <v>0.39119180707704199</v>
      </c>
      <c r="AA27" s="6">
        <v>0.37886751946274499</v>
      </c>
      <c r="AB27" s="6">
        <v>0.36716600055044002</v>
      </c>
      <c r="AC27" s="6">
        <v>0.35604862376371799</v>
      </c>
      <c r="AD27" s="6">
        <v>0.34547943972601902</v>
      </c>
      <c r="AE27" s="6">
        <v>0.33542497763385098</v>
      </c>
      <c r="AF27" s="6">
        <v>0.325854062049515</v>
      </c>
      <c r="AG27" s="6">
        <v>0.31673764387737902</v>
      </c>
      <c r="AH27" s="6">
        <v>0.30804864438917501</v>
      </c>
      <c r="AI27" s="6">
        <v>0.29976181125676099</v>
      </c>
      <c r="AJ27" s="6">
        <v>0.29185358563598801</v>
      </c>
      <c r="AK27" s="6">
        <v>0.28430197942343399</v>
      </c>
      <c r="AL27" s="6">
        <v>0.277086461879338</v>
      </c>
      <c r="AM27" s="6">
        <v>0.27018785487575198</v>
      </c>
      <c r="AN27" s="6">
        <v>0.26358823608909698</v>
      </c>
      <c r="AO27" s="6">
        <v>0.257270849511535</v>
      </c>
      <c r="AP27" s="6">
        <v>0.25122002270620403</v>
      </c>
      <c r="AQ27" s="6">
        <v>0.245421090277816</v>
      </c>
      <c r="AR27" s="6">
        <v>0.23986032307274099</v>
      </c>
      <c r="AS27">
        <v>0.23452486266179101</v>
      </c>
    </row>
    <row r="28" spans="2:45" x14ac:dyDescent="0.35">
      <c r="B28">
        <v>10.5</v>
      </c>
      <c r="C28" s="6">
        <v>0.95385734979451298</v>
      </c>
      <c r="D28" s="6">
        <v>0.91053145247275002</v>
      </c>
      <c r="E28" s="6">
        <v>0.86982947423649903</v>
      </c>
      <c r="F28" s="6">
        <v>0.85040606827863197</v>
      </c>
      <c r="G28" s="6">
        <v>0.83157264047826096</v>
      </c>
      <c r="H28" s="6">
        <v>0.79559516900755201</v>
      </c>
      <c r="I28" s="6">
        <v>0.76174328648642098</v>
      </c>
      <c r="J28" s="6">
        <v>0.72987432145111197</v>
      </c>
      <c r="K28" s="6">
        <v>0.69985586783216802</v>
      </c>
      <c r="L28" s="6">
        <v>0.67156501337689201</v>
      </c>
      <c r="M28" s="6">
        <v>0.64488762782942</v>
      </c>
      <c r="N28" s="6">
        <v>0.61971770613822497</v>
      </c>
      <c r="O28" s="6">
        <v>0.59595676234152595</v>
      </c>
      <c r="P28" s="6">
        <v>0.57351327013072695</v>
      </c>
      <c r="Q28" s="6">
        <v>0.55230214641320496</v>
      </c>
      <c r="R28" s="6">
        <v>0.53224427449075695</v>
      </c>
      <c r="S28" s="6">
        <v>0.51326606374107597</v>
      </c>
      <c r="T28" s="6">
        <v>0.49529904293866001</v>
      </c>
      <c r="U28" s="6">
        <v>0.47827948458036101</v>
      </c>
      <c r="V28" s="6">
        <v>0.46214805779106899</v>
      </c>
      <c r="W28" s="6">
        <v>0.44684950757824998</v>
      </c>
      <c r="X28" s="6">
        <v>0.43233235838169398</v>
      </c>
      <c r="Y28" s="6">
        <v>0.41854864002806103</v>
      </c>
      <c r="Z28" s="6">
        <v>0.40545363434991499</v>
      </c>
      <c r="AA28" s="6">
        <v>0.39300564086690098</v>
      </c>
      <c r="AB28" s="6">
        <v>0.381165760053574</v>
      </c>
      <c r="AC28" s="6">
        <v>0.369897692835083</v>
      </c>
      <c r="AD28" s="6">
        <v>0.35916755505914599</v>
      </c>
      <c r="AE28" s="6">
        <v>0.34894370579144901</v>
      </c>
      <c r="AF28" s="6">
        <v>0.33919658837236399</v>
      </c>
      <c r="AG28" s="6">
        <v>0.32989858325633398</v>
      </c>
      <c r="AH28" s="6">
        <v>0.32102387173214098</v>
      </c>
      <c r="AI28" s="6">
        <v>0.312548309692879</v>
      </c>
      <c r="AJ28" s="6">
        <v>0.30444931068953801</v>
      </c>
      <c r="AK28" s="6">
        <v>0.29670573756193602</v>
      </c>
      <c r="AL28" s="6">
        <v>0.289297801995824</v>
      </c>
      <c r="AM28" s="6">
        <v>0.28220697140568501</v>
      </c>
      <c r="AN28" s="6">
        <v>0.27541588258945399</v>
      </c>
      <c r="AO28" s="6">
        <v>0.268908261644351</v>
      </c>
      <c r="AP28" s="6">
        <v>0.26266884967257897</v>
      </c>
      <c r="AQ28" s="6">
        <v>0.25668333384213099</v>
      </c>
      <c r="AR28" s="6">
        <v>0.250938283401474</v>
      </c>
      <c r="AS28">
        <v>0.245421090277816</v>
      </c>
    </row>
    <row r="29" spans="2:45" x14ac:dyDescent="0.35">
      <c r="B29">
        <v>11</v>
      </c>
      <c r="C29" s="6">
        <v>0.95589212089511399</v>
      </c>
      <c r="D29" s="6">
        <v>0.91435895058650696</v>
      </c>
      <c r="E29" s="6">
        <v>0.87523191544479595</v>
      </c>
      <c r="F29" s="6">
        <v>0.85652125735225204</v>
      </c>
      <c r="G29" s="6">
        <v>0.83835419690308399</v>
      </c>
      <c r="H29" s="6">
        <v>0.80357987833138</v>
      </c>
      <c r="I29" s="6">
        <v>0.77077315556118198</v>
      </c>
      <c r="J29" s="6">
        <v>0.73980760621420705</v>
      </c>
      <c r="K29" s="6">
        <v>0.71056551336398999</v>
      </c>
      <c r="L29" s="6">
        <v>0.68293723940446405</v>
      </c>
      <c r="M29" s="6">
        <v>0.656820646317954</v>
      </c>
      <c r="N29" s="6">
        <v>0.632120558828558</v>
      </c>
      <c r="O29" s="6">
        <v>0.60874826719743402</v>
      </c>
      <c r="P29" s="6">
        <v>0.58662106666599001</v>
      </c>
      <c r="Q29" s="6">
        <v>0.56566183078299004</v>
      </c>
      <c r="R29" s="6">
        <v>0.54579861606372604</v>
      </c>
      <c r="S29" s="6">
        <v>0.52696429562499703</v>
      </c>
      <c r="T29" s="6">
        <v>0.50909621962005402</v>
      </c>
      <c r="U29" s="6">
        <v>0.49213590046407701</v>
      </c>
      <c r="V29" s="6">
        <v>0.47602872099423599</v>
      </c>
      <c r="W29" s="6">
        <v>0.46072366384998398</v>
      </c>
      <c r="X29" s="6">
        <v>0.44617306048986999</v>
      </c>
      <c r="Y29" s="6">
        <v>0.43233235838169398</v>
      </c>
      <c r="Z29" s="6">
        <v>0.41915990501401101</v>
      </c>
      <c r="AA29" s="6">
        <v>0.40661674747968202</v>
      </c>
      <c r="AB29" s="6">
        <v>0.39466644647682397</v>
      </c>
      <c r="AC29" s="6">
        <v>0.38327490365996902</v>
      </c>
      <c r="AD29" s="6">
        <v>0.37241020135493902</v>
      </c>
      <c r="AE29" s="6">
        <v>0.36204245372541299</v>
      </c>
      <c r="AF29" s="6">
        <v>0.35214366854794699</v>
      </c>
      <c r="AG29" s="6">
        <v>0.34268761881571802</v>
      </c>
      <c r="AH29" s="6">
        <v>0.33364972344986998</v>
      </c>
      <c r="AI29" s="6">
        <v>0.32500693645150702</v>
      </c>
      <c r="AJ29" s="6">
        <v>0.31673764387737902</v>
      </c>
      <c r="AK29" s="6">
        <v>0.30882156806849398</v>
      </c>
      <c r="AL29" s="6">
        <v>0.30123967860356399</v>
      </c>
      <c r="AM29" s="6">
        <v>0.29397410948859598</v>
      </c>
      <c r="AN29" s="6">
        <v>0.28700808213038598</v>
      </c>
      <c r="AO29" s="6">
        <v>0.28032583367529301</v>
      </c>
      <c r="AP29" s="6">
        <v>0.27391255032578798</v>
      </c>
      <c r="AQ29" s="6">
        <v>0.267754305276027</v>
      </c>
      <c r="AR29" s="6">
        <v>0.26183800093422199</v>
      </c>
      <c r="AS29">
        <v>0.25615131512419498</v>
      </c>
    </row>
    <row r="30" spans="2:45" x14ac:dyDescent="0.35">
      <c r="B30">
        <v>11.5</v>
      </c>
      <c r="C30" s="6">
        <v>0.957755051706906</v>
      </c>
      <c r="D30" s="6">
        <v>0.917872671747337</v>
      </c>
      <c r="E30" s="6">
        <v>0.880204642563441</v>
      </c>
      <c r="F30" s="6">
        <v>0.86215741887114095</v>
      </c>
      <c r="G30" s="6">
        <v>0.84461265074380698</v>
      </c>
      <c r="H30" s="6">
        <v>0.81096759820700504</v>
      </c>
      <c r="I30" s="6">
        <v>0.77914896263428002</v>
      </c>
      <c r="J30" s="6">
        <v>0.74904420355805801</v>
      </c>
      <c r="K30" s="6">
        <v>0.72054821077920195</v>
      </c>
      <c r="L30" s="6">
        <v>0.69356279203225801</v>
      </c>
      <c r="M30" s="6">
        <v>0.66799619704577895</v>
      </c>
      <c r="N30" s="6">
        <v>0.64376267535555798</v>
      </c>
      <c r="O30" s="6">
        <v>0.620782065423652</v>
      </c>
      <c r="P30" s="6">
        <v>0.59897941279646005</v>
      </c>
      <c r="Q30" s="6">
        <v>0.57828461520208096</v>
      </c>
      <c r="R30" s="6">
        <v>0.55863209264165803</v>
      </c>
      <c r="S30" s="6">
        <v>0.539960480672381</v>
      </c>
      <c r="T30" s="6">
        <v>0.52221234521212601</v>
      </c>
      <c r="U30" s="6">
        <v>0.50533391731816102</v>
      </c>
      <c r="V30" s="6">
        <v>0.48927484650573599</v>
      </c>
      <c r="W30" s="6">
        <v>0.47398797127724701</v>
      </c>
      <c r="X30" s="6">
        <v>0.45942910562987399</v>
      </c>
      <c r="Y30" s="6">
        <v>0.44555684039945298</v>
      </c>
      <c r="Z30" s="6">
        <v>0.43233235838169398</v>
      </c>
      <c r="AA30" s="6">
        <v>0.41971926224887501</v>
      </c>
      <c r="AB30" s="6">
        <v>0.40768341435164401</v>
      </c>
      <c r="AC30" s="6">
        <v>0.39619278756159498</v>
      </c>
      <c r="AD30" s="6">
        <v>0.38521732637161199</v>
      </c>
      <c r="AE30" s="6">
        <v>0.37472881752765203</v>
      </c>
      <c r="AF30" s="6">
        <v>0.36470076951823099</v>
      </c>
      <c r="AG30" s="6">
        <v>0.35510830029652901</v>
      </c>
      <c r="AH30" s="6">
        <v>0.34592803265517602</v>
      </c>
      <c r="AI30" s="6">
        <v>0.33713799671554701</v>
      </c>
      <c r="AJ30" s="6">
        <v>0.32871753903214102</v>
      </c>
      <c r="AK30" s="6">
        <v>0.32064723784851201</v>
      </c>
      <c r="AL30" s="6">
        <v>0.31290882407448001</v>
      </c>
      <c r="AM30" s="6">
        <v>0.30548510758519898</v>
      </c>
      <c r="AN30" s="6">
        <v>0.29835990847122801</v>
      </c>
      <c r="AO30" s="6">
        <v>0.29151799289525698</v>
      </c>
      <c r="AP30" s="6">
        <v>0.28494501323571603</v>
      </c>
      <c r="AQ30" s="6">
        <v>0.27862745222027302</v>
      </c>
      <c r="AR30" s="6">
        <v>0.272552570773335</v>
      </c>
      <c r="AS30">
        <v>0.26670835932130099</v>
      </c>
    </row>
    <row r="31" spans="2:45" x14ac:dyDescent="0.35">
      <c r="B31">
        <v>12</v>
      </c>
      <c r="C31" s="6">
        <v>0.95946702444812104</v>
      </c>
      <c r="D31" s="6">
        <v>0.921109650656316</v>
      </c>
      <c r="E31" s="6">
        <v>0.88479686771438104</v>
      </c>
      <c r="F31" s="6">
        <v>0.86736857036423098</v>
      </c>
      <c r="G31" s="6">
        <v>0.85040606827863197</v>
      </c>
      <c r="H31" s="6">
        <v>0.81782248751893505</v>
      </c>
      <c r="I31" s="6">
        <v>0.78693868057473304</v>
      </c>
      <c r="J31" s="6">
        <v>0.75765403582277602</v>
      </c>
      <c r="K31" s="6">
        <v>0.72987432145111197</v>
      </c>
      <c r="L31" s="6">
        <v>0.70351126301197997</v>
      </c>
      <c r="M31" s="6">
        <v>0.67848214979150601</v>
      </c>
      <c r="N31" s="6">
        <v>0.65470946798743901</v>
      </c>
      <c r="O31" s="6">
        <v>0.632120558828558</v>
      </c>
      <c r="P31" s="6">
        <v>0.61064729990146904</v>
      </c>
      <c r="Q31" s="6">
        <v>0.59022580807320202</v>
      </c>
      <c r="R31" s="6">
        <v>0.57079616251184795</v>
      </c>
      <c r="S31" s="6">
        <v>0.55230214641320496</v>
      </c>
      <c r="T31" s="6">
        <v>0.53469100613954201</v>
      </c>
      <c r="U31" s="6">
        <v>0.51791322656771299</v>
      </c>
      <c r="V31" s="6">
        <v>0.50192232152847804</v>
      </c>
      <c r="W31" s="6">
        <v>0.48667463829746299</v>
      </c>
      <c r="X31" s="6">
        <v>0.47212917517117398</v>
      </c>
      <c r="Y31" s="6">
        <v>0.45824741122925799</v>
      </c>
      <c r="Z31" s="6">
        <v>0.44499314744714202</v>
      </c>
      <c r="AA31" s="6">
        <v>0.43233235838169398</v>
      </c>
      <c r="AB31" s="6">
        <v>0.42023305370682101</v>
      </c>
      <c r="AC31" s="6">
        <v>0.408665148926452</v>
      </c>
      <c r="AD31" s="6">
        <v>0.39760034463917099</v>
      </c>
      <c r="AE31" s="6">
        <v>0.38701201377239802</v>
      </c>
      <c r="AF31" s="6">
        <v>0.37687509624444399</v>
      </c>
      <c r="AG31" s="6">
        <v>0.36716600055044002</v>
      </c>
      <c r="AH31" s="6">
        <v>0.35786251180305501</v>
      </c>
      <c r="AI31" s="6">
        <v>0.34894370579144901</v>
      </c>
      <c r="AJ31" s="6">
        <v>0.34038986865210602</v>
      </c>
      <c r="AK31" s="6">
        <v>0.33218242177326002</v>
      </c>
      <c r="AL31" s="6">
        <v>0.32430385158074698</v>
      </c>
      <c r="AM31" s="6">
        <v>0.31673764387737902</v>
      </c>
      <c r="AN31" s="6">
        <v>0.30946822243050098</v>
      </c>
      <c r="AO31" s="6">
        <v>0.30248089152338598</v>
      </c>
      <c r="AP31" s="6">
        <v>0.29576178220562399</v>
      </c>
      <c r="AQ31" s="6">
        <v>0.289297801995824</v>
      </c>
      <c r="AR31" s="6">
        <v>0.28307658780682998</v>
      </c>
      <c r="AS31">
        <v>0.277086461879338</v>
      </c>
    </row>
    <row r="32" spans="2:45" x14ac:dyDescent="0.35">
      <c r="B32">
        <v>12.5</v>
      </c>
      <c r="C32" s="6">
        <v>0.961045670167053</v>
      </c>
      <c r="D32" s="6">
        <v>0.92410131896117897</v>
      </c>
      <c r="E32" s="6">
        <v>0.88905057888936101</v>
      </c>
      <c r="F32" s="6">
        <v>0.87220092337240895</v>
      </c>
      <c r="G32" s="6">
        <v>0.85578425914471601</v>
      </c>
      <c r="H32" s="6">
        <v>0.82419988491090201</v>
      </c>
      <c r="I32" s="6">
        <v>0.79420126707053995</v>
      </c>
      <c r="J32" s="6">
        <v>0.76569810026997298</v>
      </c>
      <c r="K32" s="6">
        <v>0.73860558743273697</v>
      </c>
      <c r="L32" s="6">
        <v>0.71284408894448403</v>
      </c>
      <c r="M32" s="6">
        <v>0.68833879485347305</v>
      </c>
      <c r="N32" s="6">
        <v>0.66501941854365798</v>
      </c>
      <c r="O32" s="6">
        <v>0.64281991044259201</v>
      </c>
      <c r="P32" s="6">
        <v>0.62167819042424999</v>
      </c>
      <c r="Q32" s="6">
        <v>0.60153589765800097</v>
      </c>
      <c r="R32" s="6">
        <v>0.58233815673983202</v>
      </c>
      <c r="S32" s="6">
        <v>0.56403335902094198</v>
      </c>
      <c r="T32" s="6">
        <v>0.54657295812238504</v>
      </c>
      <c r="U32" s="6">
        <v>0.52991127869297106</v>
      </c>
      <c r="V32" s="6">
        <v>0.51400533753143796</v>
      </c>
      <c r="W32" s="6">
        <v>0.49881467625333997</v>
      </c>
      <c r="X32" s="6">
        <v>0.48430120473844601</v>
      </c>
      <c r="Y32" s="6">
        <v>0.47042905464599399</v>
      </c>
      <c r="Z32" s="6">
        <v>0.45716444233319498</v>
      </c>
      <c r="AA32" s="6">
        <v>0.44447554055710897</v>
      </c>
      <c r="AB32" s="6">
        <v>0.43233235838169398</v>
      </c>
      <c r="AC32" s="6">
        <v>0.42070662875068199</v>
      </c>
      <c r="AD32" s="6">
        <v>0.40957170322311898</v>
      </c>
      <c r="AE32" s="6">
        <v>0.39890245340211899</v>
      </c>
      <c r="AF32" s="6">
        <v>0.38867517861881001</v>
      </c>
      <c r="AG32" s="6">
        <v>0.37886751946274499</v>
      </c>
      <c r="AH32" s="6">
        <v>0.36945837677734</v>
      </c>
      <c r="AI32" s="6">
        <v>0.36042783576433601</v>
      </c>
      <c r="AJ32" s="6">
        <v>0.351757094865005</v>
      </c>
      <c r="AK32" s="6">
        <v>0.34342839910793999</v>
      </c>
      <c r="AL32" s="6">
        <v>0.33542497763385098</v>
      </c>
      <c r="AM32" s="6">
        <v>0.32773098512703702</v>
      </c>
      <c r="AN32" s="6">
        <v>0.32033144690110599</v>
      </c>
      <c r="AO32" s="6">
        <v>0.31321220740322397</v>
      </c>
      <c r="AP32" s="6">
        <v>0.306359881916765</v>
      </c>
      <c r="AQ32" s="6">
        <v>0.29976181125676099</v>
      </c>
      <c r="AR32" s="6">
        <v>0.29340601926610499</v>
      </c>
      <c r="AS32">
        <v>0.287281172933114</v>
      </c>
    </row>
    <row r="33" spans="2:45" x14ac:dyDescent="0.35">
      <c r="B33">
        <v>13</v>
      </c>
      <c r="C33" s="6">
        <v>0.96250597764989199</v>
      </c>
      <c r="D33" s="6">
        <v>0.926874525457132</v>
      </c>
      <c r="E33" s="6">
        <v>0.89300181612221097</v>
      </c>
      <c r="F33" s="6">
        <v>0.87669424052845002</v>
      </c>
      <c r="G33" s="6">
        <v>0.86079018807702501</v>
      </c>
      <c r="H33" s="6">
        <v>0.83014776435919801</v>
      </c>
      <c r="I33" s="6">
        <v>0.80098809570710705</v>
      </c>
      <c r="J33" s="6">
        <v>0.77322982630479098</v>
      </c>
      <c r="K33" s="6">
        <v>0.74679638070938203</v>
      </c>
      <c r="L33" s="6">
        <v>0.72161567059028797</v>
      </c>
      <c r="M33" s="6">
        <v>0.69761981999947198</v>
      </c>
      <c r="N33" s="6">
        <v>0.67474490797632602</v>
      </c>
      <c r="O33" s="6">
        <v>0.65293072736914604</v>
      </c>
      <c r="P33" s="6">
        <v>0.632120558828558</v>
      </c>
      <c r="Q33" s="6">
        <v>0.612260958996662</v>
      </c>
      <c r="R33" s="6">
        <v>0.59330156197957895</v>
      </c>
      <c r="S33" s="6">
        <v>0.57519489325072604</v>
      </c>
      <c r="T33" s="6">
        <v>0.55789619518787004</v>
      </c>
      <c r="U33" s="6">
        <v>0.54136326349900898</v>
      </c>
      <c r="V33" s="6">
        <v>0.52555629384071101</v>
      </c>
      <c r="W33" s="6">
        <v>0.51043773797789704</v>
      </c>
      <c r="X33" s="6">
        <v>0.49597216887642998</v>
      </c>
      <c r="Y33" s="6">
        <v>0.48212615415941101</v>
      </c>
      <c r="Z33" s="6">
        <v>0.468868137395066</v>
      </c>
      <c r="AA33" s="6">
        <v>0.45616832671862201</v>
      </c>
      <c r="AB33" s="6">
        <v>0.44399859032279798</v>
      </c>
      <c r="AC33" s="6">
        <v>0.43233235838169398</v>
      </c>
      <c r="AD33" s="6">
        <v>0.42114453100097099</v>
      </c>
      <c r="AE33" s="6">
        <v>0.41041139181354003</v>
      </c>
      <c r="AF33" s="6">
        <v>0.40011052686452298</v>
      </c>
      <c r="AG33" s="6">
        <v>0.39022074845222798</v>
      </c>
      <c r="AH33" s="6">
        <v>0.38072202361332302</v>
      </c>
      <c r="AI33" s="6">
        <v>0.37159540696044002</v>
      </c>
      <c r="AJ33" s="6">
        <v>0.36282297759920401</v>
      </c>
      <c r="AK33" s="6">
        <v>0.35438777986914999</v>
      </c>
      <c r="AL33" s="6">
        <v>0.34627376766942503</v>
      </c>
      <c r="AM33" s="6">
        <v>0.33846575214541902</v>
      </c>
      <c r="AN33" s="6">
        <v>0.33094935252680702</v>
      </c>
      <c r="AO33" s="6">
        <v>0.32371094992086102</v>
      </c>
      <c r="AP33" s="6">
        <v>0.31673764387737902</v>
      </c>
      <c r="AQ33" s="6">
        <v>0.31001721155328799</v>
      </c>
      <c r="AR33" s="6">
        <v>0.30353806931591498</v>
      </c>
      <c r="AS33">
        <v>0.29728923663412998</v>
      </c>
    </row>
    <row r="34" spans="2:45" x14ac:dyDescent="0.35">
      <c r="B34">
        <v>13.5</v>
      </c>
      <c r="C34" s="6">
        <v>0.96386077044206497</v>
      </c>
      <c r="D34" s="6">
        <v>0.92945234137550403</v>
      </c>
      <c r="E34" s="6">
        <v>0.896681686874364</v>
      </c>
      <c r="F34" s="6">
        <v>0.88088291981198596</v>
      </c>
      <c r="G34" s="6">
        <v>0.86546110768006601</v>
      </c>
      <c r="H34" s="6">
        <v>0.83570791371180497</v>
      </c>
      <c r="I34" s="6">
        <v>0.80734412603260197</v>
      </c>
      <c r="J34" s="6">
        <v>0.78029619705429298</v>
      </c>
      <c r="K34" s="6">
        <v>0.75449474784202097</v>
      </c>
      <c r="L34" s="6">
        <v>0.72987432145111197</v>
      </c>
      <c r="M34" s="6">
        <v>0.70637315129689104</v>
      </c>
      <c r="N34" s="6">
        <v>0.68393294362129298</v>
      </c>
      <c r="O34" s="6">
        <v>0.66249867317941402</v>
      </c>
      <c r="P34" s="6">
        <v>0.64201839132457095</v>
      </c>
      <c r="Q34" s="6">
        <v>0.62244304572237696</v>
      </c>
      <c r="R34" s="6">
        <v>0.60372631097288498</v>
      </c>
      <c r="S34" s="6">
        <v>0.58582442946536994</v>
      </c>
      <c r="T34" s="6">
        <v>0.56869606183283405</v>
      </c>
      <c r="U34" s="6">
        <v>0.55230214641320496</v>
      </c>
      <c r="V34" s="6">
        <v>0.536605767161486</v>
      </c>
      <c r="W34" s="6">
        <v>0.52157202949203896</v>
      </c>
      <c r="X34" s="6">
        <v>0.50716794356287098</v>
      </c>
      <c r="Y34" s="6">
        <v>0.49336231454442803</v>
      </c>
      <c r="Z34" s="6">
        <v>0.48012563944405101</v>
      </c>
      <c r="AA34" s="6">
        <v>0.46743001008408802</v>
      </c>
      <c r="AB34" s="6">
        <v>0.45524902185681498</v>
      </c>
      <c r="AC34" s="6">
        <v>0.44355768790283501</v>
      </c>
      <c r="AD34" s="6">
        <v>0.43233235838169398</v>
      </c>
      <c r="AE34" s="6">
        <v>0.42155064452407698</v>
      </c>
      <c r="AF34" s="6">
        <v>0.41119134717433498</v>
      </c>
      <c r="AG34" s="6">
        <v>0.40123438955014701</v>
      </c>
      <c r="AH34" s="6">
        <v>0.39166075396317201</v>
      </c>
      <c r="AI34" s="6">
        <v>0.38245242226037701</v>
      </c>
      <c r="AJ34" s="6">
        <v>0.37359231976066498</v>
      </c>
      <c r="AK34" s="6">
        <v>0.36506426247539098</v>
      </c>
      <c r="AL34" s="6">
        <v>0.35685290741438902</v>
      </c>
      <c r="AM34" s="6">
        <v>0.34894370579144901</v>
      </c>
      <c r="AN34" s="6">
        <v>0.341322858954615</v>
      </c>
      <c r="AO34" s="6">
        <v>0.33397727687747197</v>
      </c>
      <c r="AP34" s="6">
        <v>0.32689453905767002</v>
      </c>
      <c r="AQ34" s="6">
        <v>0.320062857678376</v>
      </c>
      <c r="AR34" s="6">
        <v>0.31347104289723698</v>
      </c>
      <c r="AS34">
        <v>0.30710847013569997</v>
      </c>
    </row>
    <row r="35" spans="2:45" x14ac:dyDescent="0.35">
      <c r="B35">
        <v>14</v>
      </c>
      <c r="C35" s="6">
        <v>0.96512108414368103</v>
      </c>
      <c r="D35" s="6">
        <v>0.93185470174872898</v>
      </c>
      <c r="E35" s="6">
        <v>0.90011718064151702</v>
      </c>
      <c r="F35" s="6">
        <v>0.88479686771438104</v>
      </c>
      <c r="G35" s="6">
        <v>0.86982947423649903</v>
      </c>
      <c r="H35" s="6">
        <v>0.84091689534963499</v>
      </c>
      <c r="I35" s="6">
        <v>0.81330886576087003</v>
      </c>
      <c r="J35" s="6">
        <v>0.78693868057473304</v>
      </c>
      <c r="K35" s="6">
        <v>0.76174328648642098</v>
      </c>
      <c r="L35" s="6">
        <v>0.73766307311545398</v>
      </c>
      <c r="M35" s="6">
        <v>0.71464167662026601</v>
      </c>
      <c r="N35" s="6">
        <v>0.692625794855251</v>
      </c>
      <c r="O35" s="6">
        <v>0.67156501337689201</v>
      </c>
      <c r="P35" s="6">
        <v>0.65141164164796805</v>
      </c>
      <c r="Q35" s="6">
        <v>0.632120558828558</v>
      </c>
      <c r="R35" s="6">
        <v>0.61364906857982404</v>
      </c>
      <c r="S35" s="6">
        <v>0.59595676234152595</v>
      </c>
      <c r="T35" s="6">
        <v>0.57900539057702705</v>
      </c>
      <c r="U35" s="6">
        <v>0.562758741510339</v>
      </c>
      <c r="V35" s="6">
        <v>0.547182526908634</v>
      </c>
      <c r="W35" s="6">
        <v>0.53224427449075695</v>
      </c>
      <c r="X35" s="6">
        <v>0.51791322656771299</v>
      </c>
      <c r="Y35" s="6">
        <v>0.50416024454498098</v>
      </c>
      <c r="Z35" s="6">
        <v>0.49095771893889101</v>
      </c>
      <c r="AA35" s="6">
        <v>0.47827948458036101</v>
      </c>
      <c r="AB35" s="6">
        <v>0.46610074069899399</v>
      </c>
      <c r="AC35" s="6">
        <v>0.45439797559909201</v>
      </c>
      <c r="AD35" s="6">
        <v>0.44314889565652399</v>
      </c>
      <c r="AE35" s="6">
        <v>0.43233235838169398</v>
      </c>
      <c r="AF35" s="6">
        <v>0.42192830930922898</v>
      </c>
      <c r="AG35" s="6">
        <v>0.41191772248934999</v>
      </c>
      <c r="AH35" s="6">
        <v>0.40228254436942601</v>
      </c>
      <c r="AI35" s="6">
        <v>0.39300564086690098</v>
      </c>
      <c r="AJ35" s="6">
        <v>0.38407074744667902</v>
      </c>
      <c r="AK35" s="6">
        <v>0.37546242202726499</v>
      </c>
      <c r="AL35" s="6">
        <v>0.36716600055044002</v>
      </c>
      <c r="AM35" s="6">
        <v>0.35916755505914599</v>
      </c>
      <c r="AN35" s="6">
        <v>0.35145385413748198</v>
      </c>
      <c r="AO35" s="6">
        <v>0.344012325575483</v>
      </c>
      <c r="AP35" s="6">
        <v>0.33683102112944502</v>
      </c>
      <c r="AQ35" s="6">
        <v>0.32989858325633398</v>
      </c>
      <c r="AR35" s="6">
        <v>0.32320421370795399</v>
      </c>
      <c r="AS35">
        <v>0.31673764387737902</v>
      </c>
    </row>
    <row r="36" spans="2:45" x14ac:dyDescent="0.35">
      <c r="B36">
        <v>14.5</v>
      </c>
      <c r="C36" s="6">
        <v>0.96629646748001996</v>
      </c>
      <c r="D36" s="6">
        <v>0.93409892047780096</v>
      </c>
      <c r="E36" s="6">
        <v>0.90333182754131802</v>
      </c>
      <c r="F36" s="6">
        <v>0.88846220762961403</v>
      </c>
      <c r="G36" s="6">
        <v>0.87392369335795295</v>
      </c>
      <c r="H36" s="6">
        <v>0.84580683423815195</v>
      </c>
      <c r="I36" s="6">
        <v>0.81891716643968304</v>
      </c>
      <c r="J36" s="6">
        <v>0.79319400658301698</v>
      </c>
      <c r="K36" s="6">
        <v>0.76857988345279404</v>
      </c>
      <c r="L36" s="6">
        <v>0.74502036052207898</v>
      </c>
      <c r="M36" s="6">
        <v>0.72246386857540001</v>
      </c>
      <c r="N36" s="6">
        <v>0.70086154784344601</v>
      </c>
      <c r="O36" s="6">
        <v>0.68016709909700701</v>
      </c>
      <c r="P36" s="6">
        <v>0.66033664318035401</v>
      </c>
      <c r="Q36" s="6">
        <v>0.64132858849493002</v>
      </c>
      <c r="R36" s="6">
        <v>0.62310350597305098</v>
      </c>
      <c r="S36" s="6">
        <v>0.605624011108432</v>
      </c>
      <c r="T36" s="6">
        <v>0.58885465263583803</v>
      </c>
      <c r="U36" s="6">
        <v>0.57276180747614602</v>
      </c>
      <c r="V36" s="6">
        <v>0.55731358158564204</v>
      </c>
      <c r="W36" s="6">
        <v>0.54247971636956105</v>
      </c>
      <c r="X36" s="6">
        <v>0.528231500339847</v>
      </c>
      <c r="Y36" s="6">
        <v>0.51454168571583903</v>
      </c>
      <c r="Z36" s="6">
        <v>0.50138440968422004</v>
      </c>
      <c r="AA36" s="6">
        <v>0.48873512005119801</v>
      </c>
      <c r="AB36" s="6">
        <v>0.47657050503543102</v>
      </c>
      <c r="AC36" s="6">
        <v>0.46486842696493802</v>
      </c>
      <c r="AD36" s="6">
        <v>0.45360785965502498</v>
      </c>
      <c r="AE36" s="6">
        <v>0.44276882925725403</v>
      </c>
      <c r="AF36" s="6">
        <v>0.43233235838169398</v>
      </c>
      <c r="AG36" s="6">
        <v>0.42228041330620197</v>
      </c>
      <c r="AH36" s="6">
        <v>0.41259585409731803</v>
      </c>
      <c r="AI36" s="6">
        <v>0.40326238747749898</v>
      </c>
      <c r="AJ36" s="6">
        <v>0.39426452228303799</v>
      </c>
      <c r="AK36" s="6">
        <v>0.38558752736601598</v>
      </c>
      <c r="AL36" s="6">
        <v>0.377217391802107</v>
      </c>
      <c r="AM36" s="6">
        <v>0.36914078727407201</v>
      </c>
      <c r="AN36" s="6">
        <v>0.361345032508256</v>
      </c>
      <c r="AO36" s="6">
        <v>0.35381805964852098</v>
      </c>
      <c r="AP36" s="6">
        <v>0.34654838245866199</v>
      </c>
      <c r="AQ36" s="6">
        <v>0.33952506625066498</v>
      </c>
      <c r="AR36" s="6">
        <v>0.33273769944203302</v>
      </c>
      <c r="AS36">
        <v>0.32617636665098498</v>
      </c>
    </row>
    <row r="37" spans="2:45" x14ac:dyDescent="0.35">
      <c r="B37">
        <v>15</v>
      </c>
      <c r="C37" s="6">
        <v>0.96739522452573401</v>
      </c>
      <c r="D37" s="6">
        <v>0.93620010717789404</v>
      </c>
      <c r="E37" s="6">
        <v>0.90634623461009101</v>
      </c>
      <c r="F37" s="6">
        <v>0.89190185855665005</v>
      </c>
      <c r="G37" s="6">
        <v>0.87776873113256704</v>
      </c>
      <c r="H37" s="6">
        <v>0.85040606827863197</v>
      </c>
      <c r="I37" s="6">
        <v>0.82419988491090201</v>
      </c>
      <c r="J37" s="6">
        <v>0.79909481727202303</v>
      </c>
      <c r="K37" s="6">
        <v>0.77503833841868996</v>
      </c>
      <c r="L37" s="6">
        <v>0.75198060650995602</v>
      </c>
      <c r="M37" s="6">
        <v>0.72987432145111197</v>
      </c>
      <c r="N37" s="6">
        <v>0.70867458942300099</v>
      </c>
      <c r="O37" s="6">
        <v>0.68833879485347305</v>
      </c>
      <c r="P37" s="6">
        <v>0.66882647941305895</v>
      </c>
      <c r="Q37" s="6">
        <v>0.65009922764078798</v>
      </c>
      <c r="R37" s="6">
        <v>0.632120558828558</v>
      </c>
      <c r="S37" s="6">
        <v>0.61485582481367596</v>
      </c>
      <c r="T37" s="6">
        <v>0.59827211334910901</v>
      </c>
      <c r="U37" s="6">
        <v>0.58233815673983202</v>
      </c>
      <c r="V37" s="6">
        <v>0.567024245451349</v>
      </c>
      <c r="W37" s="6">
        <v>0.55230214641320496</v>
      </c>
      <c r="X37" s="6">
        <v>0.53814502575599499</v>
      </c>
      <c r="Y37" s="6">
        <v>0.52452737573525299</v>
      </c>
      <c r="Z37" s="6">
        <v>0.51142494560954999</v>
      </c>
      <c r="AA37" s="6">
        <v>0.49881467625333997</v>
      </c>
      <c r="AB37" s="6">
        <v>0.48667463829746299</v>
      </c>
      <c r="AC37" s="6">
        <v>0.47498397360196298</v>
      </c>
      <c r="AD37" s="6">
        <v>0.463722839876896</v>
      </c>
      <c r="AE37" s="6">
        <v>0.45287235827718503</v>
      </c>
      <c r="AF37" s="6">
        <v>0.44241456380741601</v>
      </c>
      <c r="AG37" s="6">
        <v>0.43233235838169398</v>
      </c>
      <c r="AH37" s="6">
        <v>0.42260946639237901</v>
      </c>
      <c r="AI37" s="6">
        <v>0.41323039264978001</v>
      </c>
      <c r="AJ37" s="6">
        <v>0.40418038256257499</v>
      </c>
      <c r="AK37" s="6">
        <v>0.39544538443609101</v>
      </c>
      <c r="AL37" s="6">
        <v>0.38701201377239802</v>
      </c>
      <c r="AM37" s="6">
        <v>0.37886751946274499</v>
      </c>
      <c r="AN37" s="6">
        <v>0.37099975176891198</v>
      </c>
      <c r="AO37" s="6">
        <v>0.36339713199589002</v>
      </c>
      <c r="AP37" s="6">
        <v>0.35604862376371799</v>
      </c>
      <c r="AQ37" s="6">
        <v>0.34894370579144901</v>
      </c>
      <c r="AR37" s="6">
        <v>0.342072346111085</v>
      </c>
      <c r="AS37">
        <v>0.33542497763385098</v>
      </c>
    </row>
    <row r="38" spans="2:45" x14ac:dyDescent="0.35">
      <c r="B38">
        <v>15.5</v>
      </c>
      <c r="C38" s="6">
        <v>0.96842461107661104</v>
      </c>
      <c r="D38" s="6">
        <v>0.93817150696890494</v>
      </c>
      <c r="E38" s="6">
        <v>0.90917852546676303</v>
      </c>
      <c r="F38" s="6">
        <v>0.89513601093329498</v>
      </c>
      <c r="G38" s="6">
        <v>0.88138661816320796</v>
      </c>
      <c r="H38" s="6">
        <v>0.85473968807993606</v>
      </c>
      <c r="I38" s="6">
        <v>0.82918443599870695</v>
      </c>
      <c r="J38" s="6">
        <v>0.80467021502221403</v>
      </c>
      <c r="K38" s="6">
        <v>0.78114889291454004</v>
      </c>
      <c r="L38" s="6">
        <v>0.75857472179627905</v>
      </c>
      <c r="M38" s="6">
        <v>0.73690421479300305</v>
      </c>
      <c r="N38" s="6">
        <v>0.71609602925798599</v>
      </c>
      <c r="O38" s="6">
        <v>0.696110856211127</v>
      </c>
      <c r="P38" s="6">
        <v>0.67691131565581897</v>
      </c>
      <c r="Q38" s="6">
        <v>0.65846185745423702</v>
      </c>
      <c r="R38" s="6">
        <v>0.64072866745919299</v>
      </c>
      <c r="S38" s="6">
        <v>0.62367957861735002</v>
      </c>
      <c r="T38" s="6">
        <v>0.60728398677437301</v>
      </c>
      <c r="U38" s="6">
        <v>0.59151277092741705</v>
      </c>
      <c r="V38" s="6">
        <v>0.57633821768440296</v>
      </c>
      <c r="W38" s="6">
        <v>0.56173394970277901</v>
      </c>
      <c r="X38" s="6">
        <v>0.54767485789296499</v>
      </c>
      <c r="Y38" s="6">
        <v>0.53413703718348304</v>
      </c>
      <c r="Z38" s="6">
        <v>0.52109772565594004</v>
      </c>
      <c r="AA38" s="6">
        <v>0.50853524686855101</v>
      </c>
      <c r="AB38" s="6">
        <v>0.496428955196827</v>
      </c>
      <c r="AC38" s="6">
        <v>0.48475918402944501</v>
      </c>
      <c r="AD38" s="6">
        <v>0.473507196666203</v>
      </c>
      <c r="AE38" s="6">
        <v>0.46265513977329598</v>
      </c>
      <c r="AF38" s="6">
        <v>0.45218599925910302</v>
      </c>
      <c r="AG38" s="6">
        <v>0.44208355844111202</v>
      </c>
      <c r="AH38" s="6">
        <v>0.43233235838169398</v>
      </c>
      <c r="AI38" s="6">
        <v>0.42291766027705802</v>
      </c>
      <c r="AJ38" s="6">
        <v>0.41382540979008497</v>
      </c>
      <c r="AK38" s="6">
        <v>0.40504220322360501</v>
      </c>
      <c r="AL38" s="6">
        <v>0.39655525543636599</v>
      </c>
      <c r="AM38" s="6">
        <v>0.38835236940921802</v>
      </c>
      <c r="AN38" s="6">
        <v>0.38042190737405801</v>
      </c>
      <c r="AO38" s="6">
        <v>0.37275276342282099</v>
      </c>
      <c r="AP38" s="6">
        <v>0.36533433751828098</v>
      </c>
      <c r="AQ38" s="6">
        <v>0.35815651083265998</v>
      </c>
      <c r="AR38" s="6">
        <v>0.35120962234402803</v>
      </c>
      <c r="AS38">
        <v>0.34448444662426603</v>
      </c>
    </row>
    <row r="39" spans="2:45" x14ac:dyDescent="0.35">
      <c r="B39">
        <v>16</v>
      </c>
      <c r="C39" s="6">
        <v>0.96939099498438697</v>
      </c>
      <c r="D39" s="6">
        <v>0.94002477932323703</v>
      </c>
      <c r="E39" s="6">
        <v>0.91184470303786502</v>
      </c>
      <c r="F39" s="6">
        <v>0.89818252027857903</v>
      </c>
      <c r="G39" s="6">
        <v>0.88479686771438104</v>
      </c>
      <c r="H39" s="6">
        <v>0.85882998737074601</v>
      </c>
      <c r="I39" s="6">
        <v>0.83389525655740704</v>
      </c>
      <c r="J39" s="6">
        <v>0.80994622530767502</v>
      </c>
      <c r="K39" s="6">
        <v>0.78693868057473304</v>
      </c>
      <c r="L39" s="6">
        <v>0.76483053381169197</v>
      </c>
      <c r="M39" s="6">
        <v>0.74358171436961595</v>
      </c>
      <c r="N39" s="6">
        <v>0.72315406840590402</v>
      </c>
      <c r="O39" s="6">
        <v>0.70351126301197997</v>
      </c>
      <c r="P39" s="6">
        <v>0.684618695284825</v>
      </c>
      <c r="Q39" s="6">
        <v>0.66644340608170505</v>
      </c>
      <c r="R39" s="6">
        <v>0.64895399821141397</v>
      </c>
      <c r="S39" s="6">
        <v>0.632120558828558</v>
      </c>
      <c r="T39" s="6">
        <v>0.61591458580990599</v>
      </c>
      <c r="U39" s="6">
        <v>0.60030891790368901</v>
      </c>
      <c r="V39" s="6">
        <v>0.58527766845384499</v>
      </c>
      <c r="W39" s="6">
        <v>0.57079616251184795</v>
      </c>
      <c r="X39" s="6">
        <v>0.556840877158717</v>
      </c>
      <c r="Y39" s="6">
        <v>0.54338938486927502</v>
      </c>
      <c r="Z39" s="6">
        <v>0.53042029975968097</v>
      </c>
      <c r="AA39" s="6">
        <v>0.51791322656771399</v>
      </c>
      <c r="AB39" s="6">
        <v>0.50584871222329697</v>
      </c>
      <c r="AC39" s="6">
        <v>0.494208199874342</v>
      </c>
      <c r="AD39" s="6">
        <v>0.48297398524011598</v>
      </c>
      <c r="AE39" s="6">
        <v>0.47212917517117398</v>
      </c>
      <c r="AF39" s="6">
        <v>0.46165764830126399</v>
      </c>
      <c r="AG39" s="6">
        <v>0.45154401768270502</v>
      </c>
      <c r="AH39" s="6">
        <v>0.44177359530247601</v>
      </c>
      <c r="AI39" s="6">
        <v>0.43233235838169398</v>
      </c>
      <c r="AJ39" s="6">
        <v>0.42320691736628602</v>
      </c>
      <c r="AK39" s="6">
        <v>0.414384485521544</v>
      </c>
      <c r="AL39" s="6">
        <v>0.40585285004784299</v>
      </c>
      <c r="AM39" s="6">
        <v>0.39760034463917099</v>
      </c>
      <c r="AN39" s="6">
        <v>0.38961582341023698</v>
      </c>
      <c r="AO39" s="6">
        <v>0.381888636121826</v>
      </c>
      <c r="AP39" s="6">
        <v>0.37440860463777598</v>
      </c>
      <c r="AQ39" s="6">
        <v>0.36716600055044002</v>
      </c>
      <c r="AR39" s="6">
        <v>0.36015152391480298</v>
      </c>
      <c r="AS39">
        <v>0.35335628303457101</v>
      </c>
    </row>
    <row r="40" spans="2:45" x14ac:dyDescent="0.35">
      <c r="B40">
        <v>16.5</v>
      </c>
      <c r="C40" s="6">
        <v>0.97029998794026295</v>
      </c>
      <c r="D40" s="6">
        <v>0.94177022834641899</v>
      </c>
      <c r="E40" s="6">
        <v>0.91435895058650696</v>
      </c>
      <c r="F40" s="6">
        <v>0.90105723471300603</v>
      </c>
      <c r="G40" s="6">
        <v>0.88801682452825703</v>
      </c>
      <c r="H40" s="6">
        <v>0.86269684076796604</v>
      </c>
      <c r="I40" s="6">
        <v>0.83835419690308299</v>
      </c>
      <c r="J40" s="6">
        <v>0.81494618953723996</v>
      </c>
      <c r="K40" s="6">
        <v>0.79243211172277195</v>
      </c>
      <c r="L40" s="6">
        <v>0.77077315556118298</v>
      </c>
      <c r="M40" s="6">
        <v>0.74993231969659802</v>
      </c>
      <c r="N40" s="6">
        <v>0.72987432145111197</v>
      </c>
      <c r="O40" s="6">
        <v>0.71056551336398999</v>
      </c>
      <c r="P40" s="6">
        <v>0.69197380390913898</v>
      </c>
      <c r="Q40" s="6">
        <v>0.67406858217697097</v>
      </c>
      <c r="R40" s="6">
        <v>0.656820646317954</v>
      </c>
      <c r="S40" s="6">
        <v>0.64020213555564198</v>
      </c>
      <c r="T40" s="6">
        <v>0.62418646558702395</v>
      </c>
      <c r="U40" s="6">
        <v>0.60874826719743402</v>
      </c>
      <c r="V40" s="6">
        <v>0.59386332792627305</v>
      </c>
      <c r="W40" s="6">
        <v>0.57950853662825896</v>
      </c>
      <c r="X40" s="6">
        <v>0.56566183078299004</v>
      </c>
      <c r="Y40" s="6">
        <v>0.55230214641320496</v>
      </c>
      <c r="Z40" s="6">
        <v>0.53940937047936</v>
      </c>
      <c r="AA40" s="6">
        <v>0.52696429562499703</v>
      </c>
      <c r="AB40" s="6">
        <v>0.51494857715383302</v>
      </c>
      <c r="AC40" s="6">
        <v>0.50334469212567601</v>
      </c>
      <c r="AD40" s="6">
        <v>0.49213590046407701</v>
      </c>
      <c r="AE40" s="6">
        <v>0.48130620797415302</v>
      </c>
      <c r="AF40" s="6">
        <v>0.47084033117423602</v>
      </c>
      <c r="AG40" s="6">
        <v>0.46072366384998398</v>
      </c>
      <c r="AH40" s="6">
        <v>0.45094224524424897</v>
      </c>
      <c r="AI40" s="6">
        <v>0.44148272980048803</v>
      </c>
      <c r="AJ40" s="6">
        <v>0.43233235838169398</v>
      </c>
      <c r="AK40" s="6">
        <v>0.423478930890831</v>
      </c>
      <c r="AL40" s="6">
        <v>0.414910780222572</v>
      </c>
      <c r="AM40" s="6">
        <v>0.40661674747968202</v>
      </c>
      <c r="AN40" s="6">
        <v>0.39858615839085199</v>
      </c>
      <c r="AO40" s="6">
        <v>0.39080880086997899</v>
      </c>
      <c r="AP40" s="6">
        <v>0.38327490365996902</v>
      </c>
      <c r="AQ40" s="6">
        <v>0.37597511600703098</v>
      </c>
      <c r="AR40" s="6">
        <v>0.36890048831420003</v>
      </c>
      <c r="AS40">
        <v>0.36204245372541299</v>
      </c>
    </row>
    <row r="41" spans="2:45" x14ac:dyDescent="0.35">
      <c r="B41">
        <v>17</v>
      </c>
      <c r="C41" s="6">
        <v>0.97115655446712601</v>
      </c>
      <c r="D41" s="6">
        <v>0.943416994076407</v>
      </c>
      <c r="E41" s="6">
        <v>0.91673388293633395</v>
      </c>
      <c r="F41" s="6">
        <v>0.90377426893970303</v>
      </c>
      <c r="G41" s="6">
        <v>0.89106195732863303</v>
      </c>
      <c r="H41" s="6">
        <v>0.86635802215416602</v>
      </c>
      <c r="I41" s="6">
        <v>0.84258085245484604</v>
      </c>
      <c r="J41" s="6">
        <v>0.81969109975760801</v>
      </c>
      <c r="K41" s="6">
        <v>0.79765120299941705</v>
      </c>
      <c r="L41" s="6">
        <v>0.77642530380451003</v>
      </c>
      <c r="M41" s="6">
        <v>0.75597916589668401</v>
      </c>
      <c r="N41" s="6">
        <v>0.73628009844045905</v>
      </c>
      <c r="O41" s="6">
        <v>0.71729688311539896</v>
      </c>
      <c r="P41" s="6">
        <v>0.69899970473776596</v>
      </c>
      <c r="Q41" s="6">
        <v>0.68136008525311198</v>
      </c>
      <c r="R41" s="6">
        <v>0.66435082093231401</v>
      </c>
      <c r="S41" s="6">
        <v>0.64794592261202499</v>
      </c>
      <c r="T41" s="6">
        <v>0.632120558828558</v>
      </c>
      <c r="U41" s="6">
        <v>0.61685100170182405</v>
      </c>
      <c r="V41" s="6">
        <v>0.60211457543318003</v>
      </c>
      <c r="W41" s="6">
        <v>0.58788960728790596</v>
      </c>
      <c r="X41" s="6">
        <v>0.574155380939535</v>
      </c>
      <c r="Y41" s="6">
        <v>0.56089209205944701</v>
      </c>
      <c r="Z41" s="6">
        <v>0.54808080604098097</v>
      </c>
      <c r="AA41" s="6">
        <v>0.53570341775290498</v>
      </c>
      <c r="AB41" s="6">
        <v>0.52374261322234905</v>
      </c>
      <c r="AC41" s="6">
        <v>0.51218183315231602</v>
      </c>
      <c r="AD41" s="6">
        <v>0.50100523818365705</v>
      </c>
      <c r="AE41" s="6">
        <v>0.49019767581588303</v>
      </c>
      <c r="AF41" s="6">
        <v>0.479744648905504</v>
      </c>
      <c r="AG41" s="6">
        <v>0.46963228566462001</v>
      </c>
      <c r="AH41" s="6">
        <v>0.459847311086376</v>
      </c>
      <c r="AI41" s="6">
        <v>0.45037701972753202</v>
      </c>
      <c r="AJ41" s="6">
        <v>0.44120924978190001</v>
      </c>
      <c r="AK41" s="6">
        <v>0.43233235838169398</v>
      </c>
      <c r="AL41" s="6">
        <v>0.42373519806695698</v>
      </c>
      <c r="AM41" s="6">
        <v>0.41540709436624201</v>
      </c>
      <c r="AN41" s="6">
        <v>0.407337824434512</v>
      </c>
      <c r="AO41" s="6">
        <v>0.39951759669692999</v>
      </c>
      <c r="AP41" s="6">
        <v>0.391937031449752</v>
      </c>
      <c r="AQ41" s="6">
        <v>0.38458714237194802</v>
      </c>
      <c r="AR41" s="6">
        <v>0.37745931890349199</v>
      </c>
      <c r="AS41">
        <v>0.37054530944840902</v>
      </c>
    </row>
    <row r="42" spans="2:45" x14ac:dyDescent="0.35">
      <c r="B42">
        <v>17.5</v>
      </c>
      <c r="C42" s="6">
        <v>0.97196510258977697</v>
      </c>
      <c r="D42" s="6">
        <v>0.94497321228542397</v>
      </c>
      <c r="E42" s="6">
        <v>0.91898075723549999</v>
      </c>
      <c r="F42" s="6">
        <v>0.90634623461009101</v>
      </c>
      <c r="G42" s="6">
        <v>0.893946105317594</v>
      </c>
      <c r="H42" s="6">
        <v>0.86982947423649903</v>
      </c>
      <c r="I42" s="6">
        <v>0.84659284590671702</v>
      </c>
      <c r="J42" s="6">
        <v>0.82419988491090201</v>
      </c>
      <c r="K42" s="6">
        <v>0.80261586083616598</v>
      </c>
      <c r="L42" s="6">
        <v>0.78180757429994796</v>
      </c>
      <c r="M42" s="6">
        <v>0.76174328648642098</v>
      </c>
      <c r="N42" s="6">
        <v>0.742392652023254</v>
      </c>
      <c r="O42" s="6">
        <v>0.72372665503692801</v>
      </c>
      <c r="P42" s="6">
        <v>0.70571754823277799</v>
      </c>
      <c r="Q42" s="6">
        <v>0.68833879485347305</v>
      </c>
      <c r="R42" s="6">
        <v>0.67156501337689201</v>
      </c>
      <c r="S42" s="6">
        <v>0.65537192482113005</v>
      </c>
      <c r="T42" s="6">
        <v>0.63973630253091096</v>
      </c>
      <c r="U42" s="6">
        <v>0.62463592432580795</v>
      </c>
      <c r="V42" s="6">
        <v>0.61004952689658898</v>
      </c>
      <c r="W42" s="6">
        <v>0.59595676234152595</v>
      </c>
      <c r="X42" s="6">
        <v>0.58233815673983202</v>
      </c>
      <c r="Y42" s="6">
        <v>0.56917507066441597</v>
      </c>
      <c r="Z42" s="6">
        <v>0.55644966154092901</v>
      </c>
      <c r="AA42" s="6">
        <v>0.54414484776460603</v>
      </c>
      <c r="AB42" s="6">
        <v>0.53224427449075695</v>
      </c>
      <c r="AC42" s="6">
        <v>0.52073228101883895</v>
      </c>
      <c r="AD42" s="6">
        <v>0.50959386969395404</v>
      </c>
      <c r="AE42" s="6">
        <v>0.49881467625333997</v>
      </c>
      <c r="AF42" s="6">
        <v>0.48838094154892198</v>
      </c>
      <c r="AG42" s="6">
        <v>0.47827948458036101</v>
      </c>
      <c r="AH42" s="6">
        <v>0.46849767677623699</v>
      </c>
      <c r="AI42" s="6">
        <v>0.45902341746398601</v>
      </c>
      <c r="AJ42" s="6">
        <v>0.44984511047214798</v>
      </c>
      <c r="AK42" s="6">
        <v>0.44095164181117802</v>
      </c>
      <c r="AL42" s="6">
        <v>0.43233235838169398</v>
      </c>
      <c r="AM42" s="6">
        <v>0.42397704766151001</v>
      </c>
      <c r="AN42" s="6">
        <v>0.41587591832515097</v>
      </c>
      <c r="AO42" s="6">
        <v>0.40801958175178099</v>
      </c>
      <c r="AP42" s="6">
        <v>0.40039903437961499</v>
      </c>
      <c r="AQ42" s="6">
        <v>0.39300564086690098</v>
      </c>
      <c r="AR42" s="6">
        <v>0.38583111802147602</v>
      </c>
      <c r="AS42">
        <v>0.37886751946274499</v>
      </c>
    </row>
    <row r="43" spans="2:45" x14ac:dyDescent="0.35">
      <c r="B43">
        <v>18</v>
      </c>
      <c r="C43" s="6">
        <v>0.97272955967822206</v>
      </c>
      <c r="D43" s="6">
        <v>0.94644614867067201</v>
      </c>
      <c r="E43" s="6">
        <v>0.921109650656316</v>
      </c>
      <c r="F43" s="6">
        <v>0.90878443495312999</v>
      </c>
      <c r="G43" s="6">
        <v>0.896681686874364</v>
      </c>
      <c r="H43" s="6">
        <v>0.87312553777092095</v>
      </c>
      <c r="I43" s="6">
        <v>0.85040606827863197</v>
      </c>
      <c r="J43" s="6">
        <v>0.82848965655741302</v>
      </c>
      <c r="K43" s="6">
        <v>0.80734412603260197</v>
      </c>
      <c r="L43" s="6">
        <v>0.78693868057473304</v>
      </c>
      <c r="M43" s="6">
        <v>0.76724384267262102</v>
      </c>
      <c r="N43" s="6">
        <v>0.74823139445854603</v>
      </c>
      <c r="O43" s="6">
        <v>0.72987432145111197</v>
      </c>
      <c r="P43" s="6">
        <v>0.712146758887783</v>
      </c>
      <c r="Q43" s="6">
        <v>0.69502394052523697</v>
      </c>
      <c r="R43" s="6">
        <v>0.67848214979150601</v>
      </c>
      <c r="S43" s="6">
        <v>0.66249867317941402</v>
      </c>
      <c r="T43" s="6">
        <v>0.64705175577611695</v>
      </c>
      <c r="U43" s="6">
        <v>0.632120558828558</v>
      </c>
      <c r="V43" s="6">
        <v>0.61768511924944203</v>
      </c>
      <c r="W43" s="6">
        <v>0.60372631097288498</v>
      </c>
      <c r="X43" s="6">
        <v>0.59022580807320202</v>
      </c>
      <c r="Y43" s="6">
        <v>0.57716604956445805</v>
      </c>
      <c r="Z43" s="6">
        <v>0.56453020580227997</v>
      </c>
      <c r="AA43" s="6">
        <v>0.55230214641320496</v>
      </c>
      <c r="AB43" s="6">
        <v>0.54046640968034698</v>
      </c>
      <c r="AC43" s="6">
        <v>0.52900817331759198</v>
      </c>
      <c r="AD43" s="6">
        <v>0.51791322656771399</v>
      </c>
      <c r="AE43" s="6">
        <v>0.50716794356287098</v>
      </c>
      <c r="AF43" s="6">
        <v>0.49675925788888797</v>
      </c>
      <c r="AG43" s="6">
        <v>0.48667463829746299</v>
      </c>
      <c r="AH43" s="6">
        <v>0.47690206551309799</v>
      </c>
      <c r="AI43" s="6">
        <v>0.46743001008408802</v>
      </c>
      <c r="AJ43" s="6">
        <v>0.45824741122925799</v>
      </c>
      <c r="AK43" s="6">
        <v>0.44934365663444298</v>
      </c>
      <c r="AL43" s="6">
        <v>0.440708563154876</v>
      </c>
      <c r="AM43" s="6">
        <v>0.43233235838169398</v>
      </c>
      <c r="AN43" s="6">
        <v>0.42420566303277402</v>
      </c>
      <c r="AO43" s="6">
        <v>0.41631947412994902</v>
      </c>
      <c r="AP43" s="6">
        <v>0.408665148926452</v>
      </c>
      <c r="AQ43" s="6">
        <v>0.40123438955014701</v>
      </c>
      <c r="AR43" s="6">
        <v>0.39401922832969999</v>
      </c>
      <c r="AS43">
        <v>0.38701201377239802</v>
      </c>
    </row>
    <row r="44" spans="2:45" x14ac:dyDescent="0.35">
      <c r="B44">
        <v>18.5</v>
      </c>
      <c r="C44" s="6">
        <v>0.97345343621742098</v>
      </c>
      <c r="D44" s="6">
        <v>0.94784231209624603</v>
      </c>
      <c r="E44" s="6">
        <v>0.92312961092213797</v>
      </c>
      <c r="F44" s="6">
        <v>0.91109902996391101</v>
      </c>
      <c r="G44" s="6">
        <v>0.89927987703678902</v>
      </c>
      <c r="H44" s="6">
        <v>0.87625914729788201</v>
      </c>
      <c r="I44" s="6">
        <v>0.85403488563338703</v>
      </c>
      <c r="J44" s="6">
        <v>0.832575920547584</v>
      </c>
      <c r="K44" s="6">
        <v>0.81185238544291805</v>
      </c>
      <c r="L44" s="6">
        <v>0.79183566162815899</v>
      </c>
      <c r="M44" s="6">
        <v>0.77249832388934003</v>
      </c>
      <c r="N44" s="6">
        <v>0.75381408850578602</v>
      </c>
      <c r="O44" s="6">
        <v>0.73575776359898204</v>
      </c>
      <c r="P44" s="6">
        <v>0.71830520170730705</v>
      </c>
      <c r="Q44" s="6">
        <v>0.70143325448462202</v>
      </c>
      <c r="R44" s="6">
        <v>0.68511972942546395</v>
      </c>
      <c r="S44" s="6">
        <v>0.66934334852413802</v>
      </c>
      <c r="T44" s="6">
        <v>0.65408370877928701</v>
      </c>
      <c r="U44" s="6">
        <v>0.639321244459647</v>
      </c>
      <c r="V44" s="6">
        <v>0.62503719105062905</v>
      </c>
      <c r="W44" s="6">
        <v>0.61121355080505901</v>
      </c>
      <c r="X44" s="6">
        <v>0.597833059825013</v>
      </c>
      <c r="Y44" s="6">
        <v>0.58487915660503198</v>
      </c>
      <c r="Z44" s="6">
        <v>0.57233595197026998</v>
      </c>
      <c r="AA44" s="6">
        <v>0.56018820034616801</v>
      </c>
      <c r="AB44" s="6">
        <v>0.54842127229922299</v>
      </c>
      <c r="AC44" s="6">
        <v>0.53702112829116999</v>
      </c>
      <c r="AD44" s="6">
        <v>0.52597429359160897</v>
      </c>
      <c r="AE44" s="6">
        <v>0.51526783429661005</v>
      </c>
      <c r="AF44" s="6">
        <v>0.504889334403267</v>
      </c>
      <c r="AG44" s="6">
        <v>0.49482687389248198</v>
      </c>
      <c r="AH44" s="6">
        <v>0.485069007774454</v>
      </c>
      <c r="AI44" s="6">
        <v>0.475604746053433</v>
      </c>
      <c r="AJ44" s="6">
        <v>0.46642353457033497</v>
      </c>
      <c r="AK44" s="6">
        <v>0.457515236683667</v>
      </c>
      <c r="AL44" s="6">
        <v>0.448870115751068</v>
      </c>
      <c r="AM44" s="6">
        <v>0.44047881837549102</v>
      </c>
      <c r="AN44" s="6">
        <v>0.43233235838169398</v>
      </c>
      <c r="AO44" s="6">
        <v>0.42442210149028398</v>
      </c>
      <c r="AP44" s="6">
        <v>0.416739750658078</v>
      </c>
      <c r="AQ44" s="6">
        <v>0.40927733205493599</v>
      </c>
      <c r="AR44" s="6">
        <v>0.402027181648627</v>
      </c>
      <c r="AS44">
        <v>0.394981932370567</v>
      </c>
    </row>
    <row r="45" spans="2:45" x14ac:dyDescent="0.35">
      <c r="B45">
        <v>19</v>
      </c>
      <c r="C45" s="6">
        <v>0.974139879687694</v>
      </c>
      <c r="D45" s="6">
        <v>0.94916755060353697</v>
      </c>
      <c r="E45" s="6">
        <v>0.92504878438427696</v>
      </c>
      <c r="F45" s="6">
        <v>0.91329917721267595</v>
      </c>
      <c r="G45" s="6">
        <v>0.90175075907097302</v>
      </c>
      <c r="H45" s="6">
        <v>0.87924199894380395</v>
      </c>
      <c r="I45" s="6">
        <v>0.85749231700342199</v>
      </c>
      <c r="J45" s="6">
        <v>0.83647275998002502</v>
      </c>
      <c r="K45" s="6">
        <v>0.81615555575675502</v>
      </c>
      <c r="L45" s="6">
        <v>0.79651406309919404</v>
      </c>
      <c r="M45" s="6">
        <v>0.77752272358765995</v>
      </c>
      <c r="N45" s="6">
        <v>0.75915701565368499</v>
      </c>
      <c r="O45" s="6">
        <v>0.74139341062659603</v>
      </c>
      <c r="P45" s="6">
        <v>0.724209330700331</v>
      </c>
      <c r="Q45" s="6">
        <v>0.70758310873475605</v>
      </c>
      <c r="R45" s="6">
        <v>0.69149394980962997</v>
      </c>
      <c r="S45" s="6">
        <v>0.67592189445304596</v>
      </c>
      <c r="T45" s="6">
        <v>0.66084778346978301</v>
      </c>
      <c r="U45" s="6">
        <v>0.64625322429832399</v>
      </c>
      <c r="V45" s="6">
        <v>0.632120558828558</v>
      </c>
      <c r="W45" s="6">
        <v>0.61843283261524595</v>
      </c>
      <c r="X45" s="6">
        <v>0.60517376542527601</v>
      </c>
      <c r="Y45" s="6">
        <v>0.59232772305951897</v>
      </c>
      <c r="Z45" s="6">
        <v>0.57987969039279996</v>
      </c>
      <c r="AA45" s="6">
        <v>0.567815245578006</v>
      </c>
      <c r="AB45" s="6">
        <v>0.55612053536283002</v>
      </c>
      <c r="AC45" s="6">
        <v>0.54478225146994996</v>
      </c>
      <c r="AD45" s="6">
        <v>0.53378760799365499</v>
      </c>
      <c r="AE45" s="6">
        <v>0.52312431976806195</v>
      </c>
      <c r="AF45" s="6">
        <v>0.51278058166406404</v>
      </c>
      <c r="AG45" s="6">
        <v>0.50274504877410797</v>
      </c>
      <c r="AH45" s="6">
        <v>0.49300681744569702</v>
      </c>
      <c r="AI45" s="6">
        <v>0.48355540712631101</v>
      </c>
      <c r="AJ45" s="6">
        <v>0.47438074298407001</v>
      </c>
      <c r="AK45" s="6">
        <v>0.46547313927010597</v>
      </c>
      <c r="AL45" s="6">
        <v>0.45682328339009898</v>
      </c>
      <c r="AM45" s="6">
        <v>0.44842222065391202</v>
      </c>
      <c r="AN45" s="6">
        <v>0.44026133967363701</v>
      </c>
      <c r="AO45" s="6">
        <v>0.43233235838169398</v>
      </c>
      <c r="AP45" s="6">
        <v>0.42462731064189702</v>
      </c>
      <c r="AQ45" s="6">
        <v>0.41713853342760598</v>
      </c>
      <c r="AR45" s="6">
        <v>0.40985865454222797</v>
      </c>
      <c r="AS45">
        <v>0.40278058085845603</v>
      </c>
    </row>
    <row r="46" spans="2:45" x14ac:dyDescent="0.35">
      <c r="B46">
        <v>19.5</v>
      </c>
      <c r="C46" s="6">
        <v>0.97479172029977301</v>
      </c>
      <c r="D46" s="6">
        <v>0.95042713317246597</v>
      </c>
      <c r="E46" s="6">
        <v>0.926874525457132</v>
      </c>
      <c r="F46" s="6">
        <v>0.91539315236612595</v>
      </c>
      <c r="G46" s="6">
        <v>0.90410345443039197</v>
      </c>
      <c r="H46" s="6">
        <v>0.88208469481767704</v>
      </c>
      <c r="I46" s="6">
        <v>0.86079018807702501</v>
      </c>
      <c r="J46" s="6">
        <v>0.84019299385597801</v>
      </c>
      <c r="K46" s="6">
        <v>0.82026724352649805</v>
      </c>
      <c r="L46" s="6">
        <v>0.80098809570710705</v>
      </c>
      <c r="M46" s="6">
        <v>0.78233169368542099</v>
      </c>
      <c r="N46" s="6">
        <v>0.76427512465816405</v>
      </c>
      <c r="O46" s="6">
        <v>0.74679638070938203</v>
      </c>
      <c r="P46" s="6">
        <v>0.72987432145111197</v>
      </c>
      <c r="Q46" s="6">
        <v>0.71348863825411302</v>
      </c>
      <c r="R46" s="6">
        <v>0.69761981999947198</v>
      </c>
      <c r="S46" s="6">
        <v>0.682249120284947</v>
      </c>
      <c r="T46" s="6">
        <v>0.66735852602286605</v>
      </c>
      <c r="U46" s="6">
        <v>0.65293072736914604</v>
      </c>
      <c r="V46" s="6">
        <v>0.638949088925718</v>
      </c>
      <c r="W46" s="6">
        <v>0.62539762216113903</v>
      </c>
      <c r="X46" s="6">
        <v>0.612260958996662</v>
      </c>
      <c r="Y46" s="6">
        <v>0.59952432650729803</v>
      </c>
      <c r="Z46" s="6">
        <v>0.58717352268969703</v>
      </c>
      <c r="AA46" s="6">
        <v>0.57519489325072604</v>
      </c>
      <c r="AB46" s="6">
        <v>0.56357530937271105</v>
      </c>
      <c r="AC46" s="6">
        <v>0.55230214641320496</v>
      </c>
      <c r="AD46" s="6">
        <v>0.54136326349900898</v>
      </c>
      <c r="AE46" s="6">
        <v>0.53074698397596098</v>
      </c>
      <c r="AF46" s="6">
        <v>0.52044207667765296</v>
      </c>
      <c r="AG46" s="6">
        <v>0.51043773797789704</v>
      </c>
      <c r="AH46" s="6">
        <v>0.50072357459327299</v>
      </c>
      <c r="AI46" s="6">
        <v>0.49128958710357901</v>
      </c>
      <c r="AJ46" s="6">
        <v>0.48212615415941101</v>
      </c>
      <c r="AK46" s="6">
        <v>0.47322401734743003</v>
      </c>
      <c r="AL46" s="6">
        <v>0.46457426668519303</v>
      </c>
      <c r="AM46" s="6">
        <v>0.45616832671862201</v>
      </c>
      <c r="AN46" s="6">
        <v>0.44799794319636699</v>
      </c>
      <c r="AO46" s="6">
        <v>0.44005517029645902</v>
      </c>
      <c r="AP46" s="6">
        <v>0.43233235838169398</v>
      </c>
      <c r="AQ46" s="6">
        <v>0.42482214226123799</v>
      </c>
      <c r="AR46" s="6">
        <v>0.41751742993691099</v>
      </c>
      <c r="AS46">
        <v>0.41041139181354003</v>
      </c>
    </row>
    <row r="47" spans="2:45" x14ac:dyDescent="0.35">
      <c r="B47">
        <v>20</v>
      </c>
      <c r="C47" s="6">
        <v>0.97541150998572002</v>
      </c>
      <c r="D47" s="6">
        <v>0.95162581964040405</v>
      </c>
      <c r="E47" s="6">
        <v>0.92861349049961495</v>
      </c>
      <c r="F47" s="6">
        <v>0.91738845274738601</v>
      </c>
      <c r="G47" s="6">
        <v>0.90634623461009101</v>
      </c>
      <c r="H47" s="6">
        <v>0.88479686771438104</v>
      </c>
      <c r="I47" s="6">
        <v>0.86393926439427404</v>
      </c>
      <c r="J47" s="6">
        <v>0.84374831508938997</v>
      </c>
      <c r="K47" s="6">
        <v>0.82419988491090201</v>
      </c>
      <c r="L47" s="6">
        <v>0.80527077417383697</v>
      </c>
      <c r="M47" s="6">
        <v>0.78693868057473304</v>
      </c>
      <c r="N47" s="6">
        <v>0.76918216294456998</v>
      </c>
      <c r="O47" s="6">
        <v>0.75198060650995602</v>
      </c>
      <c r="P47" s="6">
        <v>0.73531418959843697</v>
      </c>
      <c r="Q47" s="6">
        <v>0.71916385172655795</v>
      </c>
      <c r="R47" s="6">
        <v>0.70351126301197997</v>
      </c>
      <c r="S47" s="6">
        <v>0.68833879485347305</v>
      </c>
      <c r="T47" s="6">
        <v>0.67362949182502796</v>
      </c>
      <c r="U47" s="6">
        <v>0.65936704473266805</v>
      </c>
      <c r="V47" s="6">
        <v>0.64553576478473595</v>
      </c>
      <c r="W47" s="6">
        <v>0.632120558828558</v>
      </c>
      <c r="X47" s="6">
        <v>0.61910690560842396</v>
      </c>
      <c r="Y47" s="6">
        <v>0.60648083300174604</v>
      </c>
      <c r="Z47" s="6">
        <v>0.59422889619212804</v>
      </c>
      <c r="AA47" s="6">
        <v>0.58233815673983202</v>
      </c>
      <c r="AB47" s="6">
        <v>0.57079616251184795</v>
      </c>
      <c r="AC47" s="6">
        <v>0.55959092843537495</v>
      </c>
      <c r="AD47" s="6">
        <v>0.54871091804007999</v>
      </c>
      <c r="AE47" s="6">
        <v>0.53814502575599499</v>
      </c>
      <c r="AF47" s="6">
        <v>0.52788255993531197</v>
      </c>
      <c r="AG47" s="6">
        <v>0.51791322656771299</v>
      </c>
      <c r="AH47" s="6">
        <v>0.50822711366016604</v>
      </c>
      <c r="AI47" s="6">
        <v>0.49881467625333997</v>
      </c>
      <c r="AJ47" s="6">
        <v>0.48966672204802802</v>
      </c>
      <c r="AK47" s="6">
        <v>0.48077439761603802</v>
      </c>
      <c r="AL47" s="6">
        <v>0.47212917517117398</v>
      </c>
      <c r="AM47" s="6">
        <v>0.463722839876896</v>
      </c>
      <c r="AN47" s="6">
        <v>0.455547477668309</v>
      </c>
      <c r="AO47" s="6">
        <v>0.447595463567034</v>
      </c>
      <c r="AP47" s="6">
        <v>0.43985945046845498</v>
      </c>
      <c r="AQ47" s="6">
        <v>0.43233235838169398</v>
      </c>
      <c r="AR47" s="6">
        <v>0.42500736410350998</v>
      </c>
      <c r="AS47">
        <v>0.41787789130810399</v>
      </c>
    </row>
    <row r="48" spans="2:45" x14ac:dyDescent="0.35">
      <c r="B48">
        <v>20.5</v>
      </c>
      <c r="C48" s="6">
        <v>0.97600155577801195</v>
      </c>
      <c r="D48" s="6">
        <v>0.95276792073213201</v>
      </c>
      <c r="E48" s="6">
        <v>0.93027171866027203</v>
      </c>
      <c r="F48" s="6">
        <v>0.91929188665263295</v>
      </c>
      <c r="G48" s="6">
        <v>0.908486617767437</v>
      </c>
      <c r="H48" s="6">
        <v>0.88738728918049803</v>
      </c>
      <c r="I48" s="6">
        <v>0.866949367157409</v>
      </c>
      <c r="J48" s="6">
        <v>0.847149410920224</v>
      </c>
      <c r="K48" s="6">
        <v>0.82796486804426495</v>
      </c>
      <c r="L48" s="6">
        <v>0.80937403933866003</v>
      </c>
      <c r="M48" s="6">
        <v>0.79135604515621605</v>
      </c>
      <c r="N48" s="6">
        <v>0.77389079307319497</v>
      </c>
      <c r="O48" s="6">
        <v>0.75695894688209697</v>
      </c>
      <c r="P48" s="6">
        <v>0.74054189684293004</v>
      </c>
      <c r="Q48" s="6">
        <v>0.72462173114077599</v>
      </c>
      <c r="R48" s="6">
        <v>0.70918120849963096</v>
      </c>
      <c r="S48" s="6">
        <v>0.69420373190464402</v>
      </c>
      <c r="T48" s="6">
        <v>0.67967332338685504</v>
      </c>
      <c r="U48" s="6">
        <v>0.66557459982650402</v>
      </c>
      <c r="V48" s="6">
        <v>0.65189274973279399</v>
      </c>
      <c r="W48" s="6">
        <v>0.63861351095980401</v>
      </c>
      <c r="X48" s="6">
        <v>0.62572314931989903</v>
      </c>
      <c r="Y48" s="6">
        <v>0.61320843805763303</v>
      </c>
      <c r="Z48" s="6">
        <v>0.60105663814869903</v>
      </c>
      <c r="AA48" s="6">
        <v>0.58925547938994505</v>
      </c>
      <c r="AB48" s="6">
        <v>0.57779314224791201</v>
      </c>
      <c r="AC48" s="6">
        <v>0.56665824043472501</v>
      </c>
      <c r="AD48" s="6">
        <v>0.55583980418144696</v>
      </c>
      <c r="AE48" s="6">
        <v>0.54532726418027899</v>
      </c>
      <c r="AF48" s="6">
        <v>0.53511043616817799</v>
      </c>
      <c r="AG48" s="6">
        <v>0.52517950612560804</v>
      </c>
      <c r="AH48" s="6">
        <v>0.51552501606523704</v>
      </c>
      <c r="AI48" s="6">
        <v>0.50613785038646497</v>
      </c>
      <c r="AJ48" s="6">
        <v>0.49700922277262299</v>
      </c>
      <c r="AK48" s="6">
        <v>0.48813066360872198</v>
      </c>
      <c r="AL48" s="6">
        <v>0.47949400789847602</v>
      </c>
      <c r="AM48" s="6">
        <v>0.47109138366026498</v>
      </c>
      <c r="AN48" s="6">
        <v>0.46291520078252801</v>
      </c>
      <c r="AO48" s="6">
        <v>0.45495814031988002</v>
      </c>
      <c r="AP48" s="6">
        <v>0.44721314421203801</v>
      </c>
      <c r="AQ48" s="6">
        <v>0.43967340540838601</v>
      </c>
      <c r="AR48" s="6">
        <v>0.43233235838169398</v>
      </c>
      <c r="AS48">
        <v>0.42518367001523899</v>
      </c>
    </row>
    <row r="49" spans="2:45" x14ac:dyDescent="0.35">
      <c r="B49">
        <v>21</v>
      </c>
      <c r="C49" s="6">
        <v>0.97656394849698902</v>
      </c>
      <c r="D49" s="6">
        <v>0.95385734979451298</v>
      </c>
      <c r="E49" s="6">
        <v>0.93185470174872898</v>
      </c>
      <c r="F49" s="6">
        <v>0.921109650656316</v>
      </c>
      <c r="G49" s="6">
        <v>0.91053145247275002</v>
      </c>
      <c r="H49" s="6">
        <v>0.88986396346969399</v>
      </c>
      <c r="I49" s="6">
        <v>0.86982947423649903</v>
      </c>
      <c r="J49" s="6">
        <v>0.85040606827863197</v>
      </c>
      <c r="K49" s="6">
        <v>0.83157264047826096</v>
      </c>
      <c r="L49" s="6">
        <v>0.81330886576087003</v>
      </c>
      <c r="M49" s="6">
        <v>0.79559516900755201</v>
      </c>
      <c r="N49" s="6">
        <v>0.77841269616238595</v>
      </c>
      <c r="O49" s="6">
        <v>0.76174328648642098</v>
      </c>
      <c r="P49" s="6">
        <v>0.74556944591175101</v>
      </c>
      <c r="Q49" s="6">
        <v>0.72987432145111197</v>
      </c>
      <c r="R49" s="6">
        <v>0.71464167662026601</v>
      </c>
      <c r="S49" s="6">
        <v>0.69985586783216802</v>
      </c>
      <c r="T49" s="6">
        <v>0.68550182172364604</v>
      </c>
      <c r="U49" s="6">
        <v>0.67156501337689201</v>
      </c>
      <c r="V49" s="6">
        <v>0.65803144539964398</v>
      </c>
      <c r="W49" s="6">
        <v>0.64488762782942</v>
      </c>
      <c r="X49" s="6">
        <v>0.632120558828558</v>
      </c>
      <c r="Y49" s="6">
        <v>0.61971770613822497</v>
      </c>
      <c r="Z49" s="6">
        <v>0.60766698926082896</v>
      </c>
      <c r="AA49" s="6">
        <v>0.59595676234152595</v>
      </c>
      <c r="AB49" s="6">
        <v>0.58457579772073998</v>
      </c>
      <c r="AC49" s="6">
        <v>0.57351327013072695</v>
      </c>
      <c r="AD49" s="6">
        <v>0.562758741510339</v>
      </c>
      <c r="AE49" s="6">
        <v>0.55230214641320496</v>
      </c>
      <c r="AF49" s="6">
        <v>0.54213377798553597</v>
      </c>
      <c r="AG49" s="6">
        <v>0.53224427449075695</v>
      </c>
      <c r="AH49" s="6">
        <v>0.52262460635908703</v>
      </c>
      <c r="AI49" s="6">
        <v>0.51326606374107597</v>
      </c>
      <c r="AJ49" s="6">
        <v>0.50416024454498098</v>
      </c>
      <c r="AK49" s="6">
        <v>0.49529904293866001</v>
      </c>
      <c r="AL49" s="6">
        <v>0.48667463829746299</v>
      </c>
      <c r="AM49" s="6">
        <v>0.47827948458036101</v>
      </c>
      <c r="AN49" s="6">
        <v>0.47010630011724802</v>
      </c>
      <c r="AO49" s="6">
        <v>0.46214805779106899</v>
      </c>
      <c r="AP49" s="6">
        <v>0.45439797559909301</v>
      </c>
      <c r="AQ49" s="6">
        <v>0.44684950757824998</v>
      </c>
      <c r="AR49" s="6">
        <v>0.43949633508012198</v>
      </c>
      <c r="AS49">
        <v>0.43233235838169398</v>
      </c>
    </row>
    <row r="50" spans="2:45" x14ac:dyDescent="0.35">
      <c r="B50">
        <v>21.5</v>
      </c>
      <c r="C50" s="6">
        <v>0.97710058749833695</v>
      </c>
      <c r="D50" s="6">
        <v>0.95489766754276495</v>
      </c>
      <c r="E50" s="6">
        <v>0.93336744483162004</v>
      </c>
      <c r="F50" s="6">
        <v>0.92284739674638605</v>
      </c>
      <c r="G50" s="6">
        <v>0.91248699054376003</v>
      </c>
      <c r="H50" s="6">
        <v>0.89223420948649301</v>
      </c>
      <c r="I50" s="6">
        <v>0.87258780852430595</v>
      </c>
      <c r="J50" s="6">
        <v>0.85352726623742003</v>
      </c>
      <c r="K50" s="6">
        <v>0.83503280376128497</v>
      </c>
      <c r="L50" s="6">
        <v>0.817085356760057</v>
      </c>
      <c r="M50" s="6">
        <v>0.79966654848905305</v>
      </c>
      <c r="N50" s="6">
        <v>0.78275866390294502</v>
      </c>
      <c r="O50" s="6">
        <v>0.76634462476822396</v>
      </c>
      <c r="P50" s="6">
        <v>0.75040796574014101</v>
      </c>
      <c r="Q50" s="6">
        <v>0.73493281136590705</v>
      </c>
      <c r="R50" s="6">
        <v>0.719903853977514</v>
      </c>
      <c r="S50" s="6">
        <v>0.70530633243897201</v>
      </c>
      <c r="T50" s="6">
        <v>0.69112601171420496</v>
      </c>
      <c r="U50" s="6">
        <v>0.67734916322318695</v>
      </c>
      <c r="V50" s="6">
        <v>0.66396254595521098</v>
      </c>
      <c r="W50" s="6">
        <v>0.65095338830942595</v>
      </c>
      <c r="X50" s="6">
        <v>0.63830937063398496</v>
      </c>
      <c r="Y50" s="6">
        <v>0.62601860843628498</v>
      </c>
      <c r="Z50" s="6">
        <v>0.61406963623790001</v>
      </c>
      <c r="AA50" s="6">
        <v>0.60245139204883302</v>
      </c>
      <c r="AB50" s="6">
        <v>0.59115320243678104</v>
      </c>
      <c r="AC50" s="6">
        <v>0.58016476816801699</v>
      </c>
      <c r="AD50" s="6">
        <v>0.56947615039749</v>
      </c>
      <c r="AE50" s="6">
        <v>0.55907775738658705</v>
      </c>
      <c r="AF50" s="6">
        <v>0.54896033172790504</v>
      </c>
      <c r="AG50" s="6">
        <v>0.53911493805716104</v>
      </c>
      <c r="AH50" s="6">
        <v>0.52953295123321797</v>
      </c>
      <c r="AI50" s="6">
        <v>0.52020604496789702</v>
      </c>
      <c r="AJ50" s="6">
        <v>0.51112618088803596</v>
      </c>
      <c r="AK50" s="6">
        <v>0.50228559801290895</v>
      </c>
      <c r="AL50" s="6">
        <v>0.49367680263082803</v>
      </c>
      <c r="AM50" s="6">
        <v>0.48529255855935599</v>
      </c>
      <c r="AN50" s="6">
        <v>0.477125877774214</v>
      </c>
      <c r="AO50" s="6">
        <v>0.469170011392532</v>
      </c>
      <c r="AP50" s="6">
        <v>0.461418440996684</v>
      </c>
      <c r="AQ50" s="6">
        <v>0.45386487028546202</v>
      </c>
      <c r="AR50" s="6">
        <v>0.44650321703991003</v>
      </c>
      <c r="AS50">
        <v>0.43932760539160698</v>
      </c>
    </row>
    <row r="51" spans="2:45" x14ac:dyDescent="0.35">
      <c r="B51">
        <v>22</v>
      </c>
      <c r="C51" s="6">
        <v>0.97761320209774605</v>
      </c>
      <c r="D51" s="6">
        <v>0.95589212089511399</v>
      </c>
      <c r="E51" s="6">
        <v>0.93481451895755896</v>
      </c>
      <c r="F51" s="6">
        <v>0.92451029081550595</v>
      </c>
      <c r="G51" s="6">
        <v>0.91435895058650696</v>
      </c>
      <c r="H51" s="6">
        <v>0.89450473246876905</v>
      </c>
      <c r="I51" s="6">
        <v>0.87523191544479595</v>
      </c>
      <c r="J51" s="6">
        <v>0.85652125735225204</v>
      </c>
      <c r="K51" s="6">
        <v>0.83835419690308399</v>
      </c>
      <c r="L51" s="6">
        <v>0.82071282855394501</v>
      </c>
      <c r="M51" s="6">
        <v>0.80357987833138</v>
      </c>
      <c r="N51" s="6">
        <v>0.78693868057473304</v>
      </c>
      <c r="O51" s="6">
        <v>0.77077315556118198</v>
      </c>
      <c r="P51" s="6">
        <v>0.75506778797871599</v>
      </c>
      <c r="Q51" s="6">
        <v>0.73980760621420705</v>
      </c>
      <c r="R51" s="6">
        <v>0.72497816242503998</v>
      </c>
      <c r="S51" s="6">
        <v>0.71056551336398999</v>
      </c>
      <c r="T51" s="6">
        <v>0.69655620192822199</v>
      </c>
      <c r="U51" s="6">
        <v>0.68293723940446405</v>
      </c>
      <c r="V51" s="6">
        <v>0.66969608838346995</v>
      </c>
      <c r="W51" s="6">
        <v>0.656820646317954</v>
      </c>
      <c r="X51" s="6">
        <v>0.64429922969920805</v>
      </c>
      <c r="Y51" s="6">
        <v>0.632120558828558</v>
      </c>
      <c r="Z51" s="6">
        <v>0.62027374316077399</v>
      </c>
      <c r="AA51" s="6">
        <v>0.60874826719743402</v>
      </c>
      <c r="AB51" s="6">
        <v>0.59753397690909804</v>
      </c>
      <c r="AC51" s="6">
        <v>0.58662106666599001</v>
      </c>
      <c r="AD51" s="6">
        <v>0.576000066657681</v>
      </c>
      <c r="AE51" s="6">
        <v>0.56566183078299004</v>
      </c>
      <c r="AF51" s="6">
        <v>0.555597524992128</v>
      </c>
      <c r="AG51" s="6">
        <v>0.54579861606372604</v>
      </c>
      <c r="AH51" s="6">
        <v>0.53625686080013502</v>
      </c>
      <c r="AI51" s="6">
        <v>0.52696429562499703</v>
      </c>
      <c r="AJ51" s="6">
        <v>0.51791322656771399</v>
      </c>
      <c r="AK51" s="6">
        <v>0.50909621962005402</v>
      </c>
      <c r="AL51" s="6">
        <v>0.50050609145069802</v>
      </c>
      <c r="AM51" s="6">
        <v>0.49213590046407701</v>
      </c>
      <c r="AN51" s="6">
        <v>0.483978938190395</v>
      </c>
      <c r="AO51" s="6">
        <v>0.47602872099423599</v>
      </c>
      <c r="AP51" s="6">
        <v>0.46827898208963697</v>
      </c>
      <c r="AQ51" s="6">
        <v>0.46072366384998398</v>
      </c>
      <c r="AR51" s="6">
        <v>0.45335691040154402</v>
      </c>
      <c r="AS51">
        <v>0.44617306048986999</v>
      </c>
    </row>
    <row r="52" spans="2:45" x14ac:dyDescent="0.35">
      <c r="B52">
        <v>22.5</v>
      </c>
      <c r="C52" s="6">
        <v>0.97810337018184201</v>
      </c>
      <c r="D52" s="6">
        <v>0.95684367678715099</v>
      </c>
      <c r="E52" s="6">
        <v>0.93620010717789404</v>
      </c>
      <c r="F52" s="6">
        <v>0.92610306377829499</v>
      </c>
      <c r="G52" s="6">
        <v>0.91615257359570401</v>
      </c>
      <c r="H52" s="6">
        <v>0.896681686874364</v>
      </c>
      <c r="I52" s="6">
        <v>0.87776873113256704</v>
      </c>
      <c r="J52" s="6">
        <v>0.85939563940966401</v>
      </c>
      <c r="K52" s="6">
        <v>0.84154497020850105</v>
      </c>
      <c r="L52" s="6">
        <v>0.82419988491090201</v>
      </c>
      <c r="M52" s="6">
        <v>0.80734412603260197</v>
      </c>
      <c r="N52" s="6">
        <v>0.79096199628580599</v>
      </c>
      <c r="O52" s="6">
        <v>0.77503833841868996</v>
      </c>
      <c r="P52" s="6">
        <v>0.75955851580242195</v>
      </c>
      <c r="Q52" s="6">
        <v>0.74450839373734301</v>
      </c>
      <c r="R52" s="6">
        <v>0.72987432145111197</v>
      </c>
      <c r="S52" s="6">
        <v>0.71564311476259401</v>
      </c>
      <c r="T52" s="6">
        <v>0.701802039386347</v>
      </c>
      <c r="U52" s="6">
        <v>0.68833879485347305</v>
      </c>
      <c r="V52" s="6">
        <v>0.67524149902557296</v>
      </c>
      <c r="W52" s="6">
        <v>0.66249867317941402</v>
      </c>
      <c r="X52" s="6">
        <v>0.65009922764078798</v>
      </c>
      <c r="Y52" s="6">
        <v>0.63803244794685698</v>
      </c>
      <c r="Z52" s="6">
        <v>0.62628798151709597</v>
      </c>
      <c r="AA52" s="6">
        <v>0.61485582481367596</v>
      </c>
      <c r="AB52" s="6">
        <v>0.60372631097288498</v>
      </c>
      <c r="AC52" s="6">
        <v>0.592890097889895</v>
      </c>
      <c r="AD52" s="6">
        <v>0.58233815673983202</v>
      </c>
      <c r="AE52" s="6">
        <v>0.57206176091878702</v>
      </c>
      <c r="AF52" s="6">
        <v>0.56205247538902103</v>
      </c>
      <c r="AG52" s="6">
        <v>0.55230214641320496</v>
      </c>
      <c r="AH52" s="6">
        <v>0.54280289166314299</v>
      </c>
      <c r="AI52" s="6">
        <v>0.533547090688956</v>
      </c>
      <c r="AJ52" s="6">
        <v>0.52452737573525299</v>
      </c>
      <c r="AK52" s="6">
        <v>0.51573662289132005</v>
      </c>
      <c r="AL52" s="6">
        <v>0.50716794356287098</v>
      </c>
      <c r="AM52" s="6">
        <v>0.49881467625333997</v>
      </c>
      <c r="AN52" s="6">
        <v>0.490670378643211</v>
      </c>
      <c r="AO52" s="6">
        <v>0.482728819956245</v>
      </c>
      <c r="AP52" s="6">
        <v>0.47498397360196298</v>
      </c>
      <c r="AQ52" s="6">
        <v>0.46743001008408802</v>
      </c>
      <c r="AR52" s="6">
        <v>0.46006129016506803</v>
      </c>
      <c r="AS52">
        <v>0.45287235827718503</v>
      </c>
    </row>
    <row r="53" spans="2:45" x14ac:dyDescent="0.35">
      <c r="B53">
        <v>23</v>
      </c>
      <c r="C53" s="6">
        <v>0.97857253442724002</v>
      </c>
      <c r="D53" s="6">
        <v>0.957755051706906</v>
      </c>
      <c r="E53" s="6">
        <v>0.93752804483660201</v>
      </c>
      <c r="F53" s="6">
        <v>0.92763005637597495</v>
      </c>
      <c r="G53" s="6">
        <v>0.917872671747337</v>
      </c>
      <c r="H53" s="6">
        <v>0.89877073170337696</v>
      </c>
      <c r="I53" s="6">
        <v>0.880204642563441</v>
      </c>
      <c r="J53" s="6">
        <v>0.86215741887114095</v>
      </c>
      <c r="K53" s="6">
        <v>0.84461265074380698</v>
      </c>
      <c r="L53" s="6">
        <v>0.82755448352997896</v>
      </c>
      <c r="M53" s="6">
        <v>0.81096759820700504</v>
      </c>
      <c r="N53" s="6">
        <v>0.79483719249122398</v>
      </c>
      <c r="O53" s="6">
        <v>0.77914896263428002</v>
      </c>
      <c r="P53" s="6">
        <v>0.76388908588010396</v>
      </c>
      <c r="Q53" s="6">
        <v>0.74904420355805801</v>
      </c>
      <c r="R53" s="6">
        <v>0.73460140478865898</v>
      </c>
      <c r="S53" s="6">
        <v>0.72054821077920195</v>
      </c>
      <c r="T53" s="6">
        <v>0.70687255968743001</v>
      </c>
      <c r="U53" s="6">
        <v>0.69356279203225801</v>
      </c>
      <c r="V53" s="6">
        <v>0.68060763663130297</v>
      </c>
      <c r="W53" s="6">
        <v>0.66799619704577895</v>
      </c>
      <c r="X53" s="6">
        <v>0.65571793851401206</v>
      </c>
      <c r="Y53" s="6">
        <v>0.64376267535555798</v>
      </c>
      <c r="Z53" s="6">
        <v>0.632120558828558</v>
      </c>
      <c r="AA53" s="6">
        <v>0.620782065423652</v>
      </c>
      <c r="AB53" s="6">
        <v>0.60973798557835801</v>
      </c>
      <c r="AC53" s="6">
        <v>0.59897941279646005</v>
      </c>
      <c r="AD53" s="6">
        <v>0.58849773315750498</v>
      </c>
      <c r="AE53" s="6">
        <v>0.57828461520208096</v>
      </c>
      <c r="AF53" s="6">
        <v>0.56833200017908003</v>
      </c>
      <c r="AG53" s="6">
        <v>0.55863209264165803</v>
      </c>
      <c r="AH53" s="6">
        <v>0.54917735137911405</v>
      </c>
      <c r="AI53" s="6">
        <v>0.539960480672381</v>
      </c>
      <c r="AJ53" s="6">
        <v>0.53097442186127997</v>
      </c>
      <c r="AK53" s="6">
        <v>0.52221234521212601</v>
      </c>
      <c r="AL53" s="6">
        <v>0.51366764207472304</v>
      </c>
      <c r="AM53" s="6">
        <v>0.50533391731816102</v>
      </c>
      <c r="AN53" s="6">
        <v>0.49720498203524</v>
      </c>
      <c r="AO53" s="6">
        <v>0.48927484650573599</v>
      </c>
      <c r="AP53" s="6">
        <v>0.48153771340906099</v>
      </c>
      <c r="AQ53" s="6">
        <v>0.47398797127724701</v>
      </c>
      <c r="AR53" s="6">
        <v>0.46662018817949302</v>
      </c>
      <c r="AS53">
        <v>0.45942910562987399</v>
      </c>
    </row>
    <row r="54" spans="2:45" x14ac:dyDescent="0.35">
      <c r="B54">
        <v>23.5</v>
      </c>
      <c r="C54" s="6">
        <v>0.97902201647882803</v>
      </c>
      <c r="D54" s="6">
        <v>0.95862873756924805</v>
      </c>
      <c r="E54" s="6">
        <v>0.93880185494450896</v>
      </c>
      <c r="F54" s="6">
        <v>0.92909525855883601</v>
      </c>
      <c r="G54" s="6">
        <v>0.91952367133547697</v>
      </c>
      <c r="H54" s="6">
        <v>0.90077707929484097</v>
      </c>
      <c r="I54" s="6">
        <v>0.88254554072021696</v>
      </c>
      <c r="J54" s="6">
        <v>0.86481306710845696</v>
      </c>
      <c r="K54" s="6">
        <v>0.84756420051451797</v>
      </c>
      <c r="L54" s="6">
        <v>0.83078399518920998</v>
      </c>
      <c r="M54" s="6">
        <v>0.814457999871123</v>
      </c>
      <c r="N54" s="6">
        <v>0.79857224070891697</v>
      </c>
      <c r="O54" s="6">
        <v>0.78311320479104995</v>
      </c>
      <c r="P54" s="6">
        <v>0.76806782426088305</v>
      </c>
      <c r="Q54" s="6">
        <v>0.75342346099588797</v>
      </c>
      <c r="R54" s="6">
        <v>0.73916789183048603</v>
      </c>
      <c r="S54" s="6">
        <v>0.72528929430280498</v>
      </c>
      <c r="T54" s="6">
        <v>0.71177623290634695</v>
      </c>
      <c r="U54" s="6">
        <v>0.698617645828297</v>
      </c>
      <c r="V54" s="6">
        <v>0.68580283215683102</v>
      </c>
      <c r="W54" s="6">
        <v>0.67332143954046997</v>
      </c>
      <c r="X54" s="6">
        <v>0.661163452283134</v>
      </c>
      <c r="Y54" s="6">
        <v>0.649319179859141</v>
      </c>
      <c r="Z54" s="6">
        <v>0.63777924583300405</v>
      </c>
      <c r="AA54" s="6">
        <v>0.62653457716940497</v>
      </c>
      <c r="AB54" s="6">
        <v>0.61557639391928298</v>
      </c>
      <c r="AC54" s="6">
        <v>0.60489619926847904</v>
      </c>
      <c r="AD54" s="6">
        <v>0.59448576993588598</v>
      </c>
      <c r="AE54" s="6">
        <v>0.58433714690852001</v>
      </c>
      <c r="AF54" s="6">
        <v>0.57444262650139699</v>
      </c>
      <c r="AG54" s="6">
        <v>0.56479475173055305</v>
      </c>
      <c r="AH54" s="6">
        <v>0.55538630398794098</v>
      </c>
      <c r="AI54" s="6">
        <v>0.54621029500739704</v>
      </c>
      <c r="AJ54" s="6">
        <v>0.53725995911121405</v>
      </c>
      <c r="AK54" s="6">
        <v>0.52852874572728403</v>
      </c>
      <c r="AL54" s="6">
        <v>0.52001031216711002</v>
      </c>
      <c r="AM54" s="6">
        <v>0.51169851665535904</v>
      </c>
      <c r="AN54" s="6">
        <v>0.50358741160195597</v>
      </c>
      <c r="AO54" s="6">
        <v>0.49567123710805899</v>
      </c>
      <c r="AP54" s="6">
        <v>0.48794441469756</v>
      </c>
      <c r="AQ54" s="6">
        <v>0.48040154126606499</v>
      </c>
      <c r="AR54" s="6">
        <v>0.47303738323960598</v>
      </c>
      <c r="AS54">
        <v>0.46584687093560201</v>
      </c>
    </row>
    <row r="55" spans="2:45" x14ac:dyDescent="0.35">
      <c r="B55">
        <v>24</v>
      </c>
      <c r="C55" s="6">
        <v>0.97945302938068302</v>
      </c>
      <c r="D55" s="6">
        <v>0.95946702444812104</v>
      </c>
      <c r="E55" s="6">
        <v>0.94002477932323703</v>
      </c>
      <c r="F55" s="6">
        <v>0.93050234419636102</v>
      </c>
      <c r="G55" s="6">
        <v>0.921109650656316</v>
      </c>
      <c r="H55" s="6">
        <v>0.90270553847695201</v>
      </c>
      <c r="I55" s="6">
        <v>0.88479686771438104</v>
      </c>
      <c r="J55" s="6">
        <v>0.86736857036423098</v>
      </c>
      <c r="K55" s="6">
        <v>0.85040606827863197</v>
      </c>
      <c r="L55" s="6">
        <v>0.83389525655740704</v>
      </c>
      <c r="M55" s="6">
        <v>0.81782248751893505</v>
      </c>
      <c r="N55" s="6">
        <v>0.80217455523000003</v>
      </c>
      <c r="O55" s="6">
        <v>0.78693868057473304</v>
      </c>
      <c r="P55" s="6">
        <v>0.77210249684343102</v>
      </c>
      <c r="Q55" s="6">
        <v>0.75765403582277602</v>
      </c>
      <c r="R55" s="6">
        <v>0.74358171436961595</v>
      </c>
      <c r="S55" s="6">
        <v>0.72987432145111197</v>
      </c>
      <c r="T55" s="6">
        <v>0.71652100563471599</v>
      </c>
      <c r="U55" s="6">
        <v>0.70351126301197997</v>
      </c>
      <c r="V55" s="6">
        <v>0.69083492554083903</v>
      </c>
      <c r="W55" s="6">
        <v>0.67848214979150601</v>
      </c>
      <c r="X55" s="6">
        <v>0.66644340608170505</v>
      </c>
      <c r="Y55" s="6">
        <v>0.65470946798743901</v>
      </c>
      <c r="Z55" s="6">
        <v>0.64327140221602397</v>
      </c>
      <c r="AA55" s="6">
        <v>0.632120558828558</v>
      </c>
      <c r="AB55" s="6">
        <v>0.62124856179950505</v>
      </c>
      <c r="AC55" s="6">
        <v>0.61064729990146904</v>
      </c>
      <c r="AD55" s="6">
        <v>0.60030891790368901</v>
      </c>
      <c r="AE55" s="6">
        <v>0.59022580807320202</v>
      </c>
      <c r="AF55" s="6">
        <v>0.58039060196798997</v>
      </c>
      <c r="AG55" s="6">
        <v>0.57079616251184795</v>
      </c>
      <c r="AH55" s="6">
        <v>0.56143557634104002</v>
      </c>
      <c r="AI55" s="6">
        <v>0.55230214641320496</v>
      </c>
      <c r="AJ55" s="6">
        <v>0.54338938486927502</v>
      </c>
      <c r="AK55" s="6">
        <v>0.53469100613954201</v>
      </c>
      <c r="AL55" s="6">
        <v>0.52620092028528498</v>
      </c>
      <c r="AM55" s="6">
        <v>0.51791322656771299</v>
      </c>
      <c r="AN55" s="6">
        <v>0.50982220723625005</v>
      </c>
      <c r="AO55" s="6">
        <v>0.50192232152847804</v>
      </c>
      <c r="AP55" s="6">
        <v>0.494208199874342</v>
      </c>
      <c r="AQ55" s="6">
        <v>0.48667463829746299</v>
      </c>
      <c r="AR55" s="6">
        <v>0.47931659300668</v>
      </c>
      <c r="AS55">
        <v>0.47212917517117398</v>
      </c>
    </row>
    <row r="56" spans="2:45" x14ac:dyDescent="0.35">
      <c r="B56">
        <v>24.5</v>
      </c>
      <c r="C56" s="6">
        <v>0.97986668850579595</v>
      </c>
      <c r="D56" s="6">
        <v>0.96027202060287098</v>
      </c>
      <c r="E56" s="6">
        <v>0.94119980609723597</v>
      </c>
      <c r="F56" s="6">
        <v>0.93185470174872898</v>
      </c>
      <c r="G56" s="6">
        <v>0.92263437351908595</v>
      </c>
      <c r="H56" s="6">
        <v>0.90456055281743197</v>
      </c>
      <c r="I56" s="6">
        <v>0.88696365864841098</v>
      </c>
      <c r="J56" s="6">
        <v>0.86982947423649903</v>
      </c>
      <c r="K56" s="6">
        <v>0.85314423578855902</v>
      </c>
      <c r="L56" s="6">
        <v>0.83689461744140603</v>
      </c>
      <c r="M56" s="6">
        <v>0.82106771672422996</v>
      </c>
      <c r="N56" s="6">
        <v>0.80565104051789405</v>
      </c>
      <c r="O56" s="6">
        <v>0.79063249149376102</v>
      </c>
      <c r="P56" s="6">
        <v>0.77600035501531195</v>
      </c>
      <c r="Q56" s="6">
        <v>0.76174328648642098</v>
      </c>
      <c r="R56" s="6">
        <v>0.74785029913072398</v>
      </c>
      <c r="S56" s="6">
        <v>0.73431075218705</v>
      </c>
      <c r="T56" s="6">
        <v>0.72111433950645898</v>
      </c>
      <c r="U56" s="6">
        <v>0.70825107853688396</v>
      </c>
      <c r="V56" s="6">
        <v>0.69571129968193202</v>
      </c>
      <c r="W56" s="6">
        <v>0.68348563602081303</v>
      </c>
      <c r="X56" s="6">
        <v>0.67156501337689201</v>
      </c>
      <c r="Y56" s="6">
        <v>0.65994064072272596</v>
      </c>
      <c r="Z56" s="6">
        <v>0.64860400090996195</v>
      </c>
      <c r="AA56" s="6">
        <v>0.63754684171278997</v>
      </c>
      <c r="AB56" s="6">
        <v>0.62676116717413499</v>
      </c>
      <c r="AC56" s="6">
        <v>0.61623922924407604</v>
      </c>
      <c r="AD56" s="6">
        <v>0.60597351970039703</v>
      </c>
      <c r="AE56" s="6">
        <v>0.59595676234152595</v>
      </c>
      <c r="AF56" s="6">
        <v>0.58618190544243298</v>
      </c>
      <c r="AG56" s="6">
        <v>0.57664211446442404</v>
      </c>
      <c r="AH56" s="6">
        <v>0.56733076501006796</v>
      </c>
      <c r="AI56" s="6">
        <v>0.55824143601480103</v>
      </c>
      <c r="AJ56" s="6">
        <v>0.54936790316706396</v>
      </c>
      <c r="AK56" s="6">
        <v>0.540704132549087</v>
      </c>
      <c r="AL56" s="6">
        <v>0.53224427449075695</v>
      </c>
      <c r="AM56" s="6">
        <v>0.52398265762921303</v>
      </c>
      <c r="AN56" s="6">
        <v>0.515913783167122</v>
      </c>
      <c r="AO56" s="6">
        <v>0.50803231932280302</v>
      </c>
      <c r="AP56" s="6">
        <v>0.50033309596561903</v>
      </c>
      <c r="AQ56" s="6">
        <v>0.492811099430293</v>
      </c>
      <c r="AR56" s="6">
        <v>0.48546146750400399</v>
      </c>
      <c r="AS56">
        <v>0.47827948458036101</v>
      </c>
    </row>
    <row r="57" spans="2:45" x14ac:dyDescent="0.35">
      <c r="B57">
        <v>25</v>
      </c>
      <c r="C57" s="6">
        <v>0.98026402119192002</v>
      </c>
      <c r="D57" s="6">
        <v>0.961045670167053</v>
      </c>
      <c r="E57" s="6">
        <v>0.94232969402368705</v>
      </c>
      <c r="F57" s="6">
        <v>0.93315546143710104</v>
      </c>
      <c r="G57" s="6">
        <v>0.92410131896117897</v>
      </c>
      <c r="H57" s="6">
        <v>0.90634623461009101</v>
      </c>
      <c r="I57" s="6">
        <v>0.88905057888936101</v>
      </c>
      <c r="J57" s="6">
        <v>0.87220092337240895</v>
      </c>
      <c r="K57" s="6">
        <v>0.85578425914471601</v>
      </c>
      <c r="L57" s="6">
        <v>0.83978798313602498</v>
      </c>
      <c r="M57" s="6">
        <v>0.82419988491090201</v>
      </c>
      <c r="N57" s="6">
        <v>0.80900813390195103</v>
      </c>
      <c r="O57" s="6">
        <v>0.79420126707053995</v>
      </c>
      <c r="P57" s="6">
        <v>0.77976817698039602</v>
      </c>
      <c r="Q57" s="6">
        <v>0.76569810026997298</v>
      </c>
      <c r="R57" s="6">
        <v>0.75198060650995602</v>
      </c>
      <c r="S57" s="6">
        <v>0.73860558743273697</v>
      </c>
      <c r="T57" s="6">
        <v>0.72556324652119197</v>
      </c>
      <c r="U57" s="6">
        <v>0.71284408894448403</v>
      </c>
      <c r="V57" s="6">
        <v>0.70043891182906703</v>
      </c>
      <c r="W57" s="6">
        <v>0.68833879485347305</v>
      </c>
      <c r="X57" s="6">
        <v>0.67653509115585797</v>
      </c>
      <c r="Y57" s="6">
        <v>0.66501941854365798</v>
      </c>
      <c r="Z57" s="6">
        <v>0.65378365099509295</v>
      </c>
      <c r="AA57" s="6">
        <v>0.64281991044259201</v>
      </c>
      <c r="AB57" s="6">
        <v>0.632120558828558</v>
      </c>
      <c r="AC57" s="6">
        <v>0.62167819042424999</v>
      </c>
      <c r="AD57" s="6">
        <v>0.61148562440283405</v>
      </c>
      <c r="AE57" s="6">
        <v>0.60153589765800097</v>
      </c>
      <c r="AF57" s="6">
        <v>0.59182225785982301</v>
      </c>
      <c r="AG57" s="6">
        <v>0.58233815673983202</v>
      </c>
      <c r="AH57" s="6">
        <v>0.57307724359753998</v>
      </c>
      <c r="AI57" s="6">
        <v>0.56403335902094198</v>
      </c>
      <c r="AJ57" s="6">
        <v>0.55520052881375004</v>
      </c>
      <c r="AK57" s="6">
        <v>0.54657295812238504</v>
      </c>
      <c r="AL57" s="6">
        <v>0.53814502575599499</v>
      </c>
      <c r="AM57" s="6">
        <v>0.52991127869297106</v>
      </c>
      <c r="AN57" s="6">
        <v>0.52186642676769401</v>
      </c>
      <c r="AO57" s="6">
        <v>0.51400533753143796</v>
      </c>
      <c r="AP57" s="6">
        <v>0.50632303128156098</v>
      </c>
      <c r="AQ57" s="6">
        <v>0.49881467625333997</v>
      </c>
      <c r="AR57" s="6">
        <v>0.49147558396896801</v>
      </c>
      <c r="AS57">
        <v>0.48430120473844601</v>
      </c>
    </row>
    <row r="58" spans="2:45" x14ac:dyDescent="0.35">
      <c r="B58">
        <v>25.5</v>
      </c>
      <c r="C58" s="6">
        <v>0.98064597525878905</v>
      </c>
      <c r="D58" s="6">
        <v>0.96178976881190104</v>
      </c>
      <c r="E58" s="6">
        <v>0.943416994076407</v>
      </c>
      <c r="F58" s="6">
        <v>0.93440751936998601</v>
      </c>
      <c r="G58" s="6">
        <v>0.92551370765930296</v>
      </c>
      <c r="H58" s="6">
        <v>0.90806639514114695</v>
      </c>
      <c r="I58" s="6">
        <v>0.89106195732863303</v>
      </c>
      <c r="J58" s="6">
        <v>0.87448769696031703</v>
      </c>
      <c r="K58" s="6">
        <v>0.85833130585026196</v>
      </c>
      <c r="L58" s="6">
        <v>0.84258085245484604</v>
      </c>
      <c r="M58" s="6">
        <v>0.82722476984853599</v>
      </c>
      <c r="N58" s="6">
        <v>0.81225184409487405</v>
      </c>
      <c r="O58" s="6">
        <v>0.79765120299941705</v>
      </c>
      <c r="P58" s="6">
        <v>0.78341230523179495</v>
      </c>
      <c r="Q58" s="6">
        <v>0.76952492980453802</v>
      </c>
      <c r="R58" s="6">
        <v>0.75597916589668401</v>
      </c>
      <c r="S58" s="6">
        <v>0.74276540301063598</v>
      </c>
      <c r="T58" s="6">
        <v>0.72987432145111197</v>
      </c>
      <c r="U58" s="6">
        <v>0.71729688311539896</v>
      </c>
      <c r="V58" s="6">
        <v>0.70502432258451397</v>
      </c>
      <c r="W58" s="6">
        <v>0.69304813850520997</v>
      </c>
      <c r="X58" s="6">
        <v>0.68136008525311198</v>
      </c>
      <c r="Y58" s="6">
        <v>0.669952164867605</v>
      </c>
      <c r="Z58" s="6">
        <v>0.65881661924939805</v>
      </c>
      <c r="AA58" s="6">
        <v>0.64794592261202499</v>
      </c>
      <c r="AB58" s="6">
        <v>0.63733277417879597</v>
      </c>
      <c r="AC58" s="6">
        <v>0.62697009111705504</v>
      </c>
      <c r="AD58" s="6">
        <v>0.61685100170182405</v>
      </c>
      <c r="AE58" s="6">
        <v>0.60696883870121499</v>
      </c>
      <c r="AF58" s="6">
        <v>0.597317132976242</v>
      </c>
      <c r="AG58" s="6">
        <v>0.58788960728790596</v>
      </c>
      <c r="AH58" s="6">
        <v>0.578680170304676</v>
      </c>
      <c r="AI58" s="6">
        <v>0.56968291080371802</v>
      </c>
      <c r="AJ58" s="6">
        <v>0.56089209205944701</v>
      </c>
      <c r="AK58" s="6">
        <v>0.55230214641320496</v>
      </c>
      <c r="AL58" s="6">
        <v>0.54390767001805396</v>
      </c>
      <c r="AM58" s="6">
        <v>0.53570341775290498</v>
      </c>
      <c r="AN58" s="6">
        <v>0.527684298300373</v>
      </c>
      <c r="AO58" s="6">
        <v>0.519845369382959</v>
      </c>
      <c r="AP58" s="6">
        <v>0.51218183315231602</v>
      </c>
      <c r="AQ58" s="6">
        <v>0.50468903172656798</v>
      </c>
      <c r="AR58" s="6">
        <v>0.49736244287078102</v>
      </c>
      <c r="AS58">
        <v>0.49019767581588303</v>
      </c>
    </row>
    <row r="59" spans="2:45" x14ac:dyDescent="0.35">
      <c r="B59">
        <v>26</v>
      </c>
      <c r="C59" s="6">
        <v>0.98101342655531099</v>
      </c>
      <c r="D59" s="6">
        <v>0.96250597764989199</v>
      </c>
      <c r="E59" s="6">
        <v>0.94446406863851096</v>
      </c>
      <c r="F59" s="6">
        <v>0.93561355901596699</v>
      </c>
      <c r="G59" s="6">
        <v>0.926874525457132</v>
      </c>
      <c r="H59" s="6">
        <v>0.90972457170121301</v>
      </c>
      <c r="I59" s="6">
        <v>0.89300181612221097</v>
      </c>
      <c r="J59" s="6">
        <v>0.87669424052845002</v>
      </c>
      <c r="K59" s="6">
        <v>0.86079018807702501</v>
      </c>
      <c r="L59" s="6">
        <v>0.84527835194382195</v>
      </c>
      <c r="M59" s="6">
        <v>0.83014776435919801</v>
      </c>
      <c r="N59" s="6">
        <v>0.81538778599726303</v>
      </c>
      <c r="O59" s="6">
        <v>0.80098809570710705</v>
      </c>
      <c r="P59" s="6">
        <v>0.78693868057473304</v>
      </c>
      <c r="Q59" s="6">
        <v>0.77322982630479098</v>
      </c>
      <c r="R59" s="6">
        <v>0.75985210791161395</v>
      </c>
      <c r="S59" s="6">
        <v>0.74679638070938203</v>
      </c>
      <c r="T59" s="6">
        <v>0.73405377159158403</v>
      </c>
      <c r="U59" s="6">
        <v>0.72161567059028797</v>
      </c>
      <c r="V59" s="6">
        <v>0.70947372270603304</v>
      </c>
      <c r="W59" s="6">
        <v>0.69761981999947198</v>
      </c>
      <c r="X59" s="6">
        <v>0.68604609393617599</v>
      </c>
      <c r="Y59" s="6">
        <v>0.67474490797632602</v>
      </c>
      <c r="Z59" s="6">
        <v>0.66370885040126304</v>
      </c>
      <c r="AA59" s="6">
        <v>0.65293072736914604</v>
      </c>
      <c r="AB59" s="6">
        <v>0.64240355619223599</v>
      </c>
      <c r="AC59" s="6">
        <v>0.632120558828558</v>
      </c>
      <c r="AD59" s="6">
        <v>0.62207515558093895</v>
      </c>
      <c r="AE59" s="6">
        <v>0.612260958996662</v>
      </c>
      <c r="AF59" s="6">
        <v>0.60267176796118005</v>
      </c>
      <c r="AG59" s="6">
        <v>0.59330156197957895</v>
      </c>
      <c r="AH59" s="6">
        <v>0.58414449563965698</v>
      </c>
      <c r="AI59" s="6">
        <v>0.57519489325072604</v>
      </c>
      <c r="AJ59" s="6">
        <v>0.56644724365240295</v>
      </c>
      <c r="AK59" s="6">
        <v>0.55789619518787004</v>
      </c>
      <c r="AL59" s="6">
        <v>0.54953655083626296</v>
      </c>
      <c r="AM59" s="6">
        <v>0.54136326349900898</v>
      </c>
      <c r="AN59" s="6">
        <v>0.53337143143513799</v>
      </c>
      <c r="AO59" s="6">
        <v>0.52555629384071101</v>
      </c>
      <c r="AP59" s="6">
        <v>0.51791322656771299</v>
      </c>
      <c r="AQ59" s="6">
        <v>0.51043773797789704</v>
      </c>
      <c r="AR59" s="6">
        <v>0.50312546492718302</v>
      </c>
      <c r="AS59">
        <v>0.49597216887642998</v>
      </c>
    </row>
    <row r="60" spans="2:45" x14ac:dyDescent="0.35">
      <c r="B60">
        <v>26.5</v>
      </c>
      <c r="C60" s="6">
        <v>0.98136718566323899</v>
      </c>
      <c r="D60" s="6">
        <v>0.96319583560481303</v>
      </c>
      <c r="E60" s="6">
        <v>0.94547310860718004</v>
      </c>
      <c r="F60" s="6">
        <v>0.93677607035699595</v>
      </c>
      <c r="G60" s="6">
        <v>0.92818654436985204</v>
      </c>
      <c r="H60" s="6">
        <v>0.911324051743436</v>
      </c>
      <c r="I60" s="6">
        <v>0.89487389733740696</v>
      </c>
      <c r="J60" s="6">
        <v>0.87882469448950096</v>
      </c>
      <c r="K60" s="6">
        <v>0.86316539258500302</v>
      </c>
      <c r="L60" s="6">
        <v>0.84788526671459996</v>
      </c>
      <c r="M60" s="6">
        <v>0.83297390765984403</v>
      </c>
      <c r="N60" s="6">
        <v>0.81842121219562303</v>
      </c>
      <c r="O60" s="6">
        <v>0.80421737369938695</v>
      </c>
      <c r="P60" s="6">
        <v>0.79035287305722701</v>
      </c>
      <c r="Q60" s="6">
        <v>0.77681846985720004</v>
      </c>
      <c r="R60" s="6">
        <v>0.76360519386064696</v>
      </c>
      <c r="S60" s="6">
        <v>0.75070433674252401</v>
      </c>
      <c r="T60" s="6">
        <v>0.73810744409207296</v>
      </c>
      <c r="U60" s="6">
        <v>0.72580630766544496</v>
      </c>
      <c r="V60" s="6">
        <v>0.71379295788216202</v>
      </c>
      <c r="W60" s="6">
        <v>0.70205965655755898</v>
      </c>
      <c r="X60" s="6">
        <v>0.69059888986363005</v>
      </c>
      <c r="Y60" s="6">
        <v>0.67940336151091896</v>
      </c>
      <c r="Z60" s="6">
        <v>0.66846598614436004</v>
      </c>
      <c r="AA60" s="6">
        <v>0.65777988294619305</v>
      </c>
      <c r="AB60" s="6">
        <v>0.647338369439317</v>
      </c>
      <c r="AC60" s="6">
        <v>0.63713495548463095</v>
      </c>
      <c r="AD60" s="6">
        <v>0.62716333746617003</v>
      </c>
      <c r="AE60" s="6">
        <v>0.617417392657994</v>
      </c>
      <c r="AF60" s="6">
        <v>0.60789117376702995</v>
      </c>
      <c r="AG60" s="6">
        <v>0.59857890364622601</v>
      </c>
      <c r="AH60" s="6">
        <v>0.589474970172568</v>
      </c>
      <c r="AI60" s="6">
        <v>0.58057392128470298</v>
      </c>
      <c r="AJ60" s="6">
        <v>0.57187046017505305</v>
      </c>
      <c r="AK60" s="6">
        <v>0.56335944063150201</v>
      </c>
      <c r="AL60" s="6">
        <v>0.55503586252388304</v>
      </c>
      <c r="AM60" s="6">
        <v>0.54689486743063298</v>
      </c>
      <c r="AN60" s="6">
        <v>0.53893173440117603</v>
      </c>
      <c r="AO60" s="6">
        <v>0.53114187584968697</v>
      </c>
      <c r="AP60" s="6">
        <v>0.52352083357607304</v>
      </c>
      <c r="AQ60" s="6">
        <v>0.51606427491011797</v>
      </c>
      <c r="AR60" s="6">
        <v>0.50876798897487896</v>
      </c>
      <c r="AS60">
        <v>0.50162788306554595</v>
      </c>
    </row>
    <row r="61" spans="2:45" x14ac:dyDescent="0.35">
      <c r="B61">
        <v>27</v>
      </c>
      <c r="C61" s="6">
        <v>0.98170800386527202</v>
      </c>
      <c r="D61" s="6">
        <v>0.96386077044206497</v>
      </c>
      <c r="E61" s="6">
        <v>0.94644614867067201</v>
      </c>
      <c r="F61" s="6">
        <v>0.93789736700920501</v>
      </c>
      <c r="G61" s="6">
        <v>0.92945234137550403</v>
      </c>
      <c r="H61" s="6">
        <v>0.91286789453302297</v>
      </c>
      <c r="I61" s="6">
        <v>0.896681686874364</v>
      </c>
      <c r="J61" s="6">
        <v>0.88088291981198596</v>
      </c>
      <c r="K61" s="6">
        <v>0.86546110768006601</v>
      </c>
      <c r="L61" s="6">
        <v>0.85040606827863197</v>
      </c>
      <c r="M61" s="6">
        <v>0.83570791371180497</v>
      </c>
      <c r="N61" s="6">
        <v>0.82135704151079303</v>
      </c>
      <c r="O61" s="6">
        <v>0.80734412603260197</v>
      </c>
      <c r="P61" s="6">
        <v>0.79366011012572002</v>
      </c>
      <c r="Q61" s="6">
        <v>0.78029619705429298</v>
      </c>
      <c r="R61" s="6">
        <v>0.76724384267262102</v>
      </c>
      <c r="S61" s="6">
        <v>0.75449474784202097</v>
      </c>
      <c r="T61" s="6">
        <v>0.74204085108240103</v>
      </c>
      <c r="U61" s="6">
        <v>0.72987432145111197</v>
      </c>
      <c r="V61" s="6">
        <v>0.71798755164188199</v>
      </c>
      <c r="W61" s="6">
        <v>0.70637315129689104</v>
      </c>
      <c r="X61" s="6">
        <v>0.69502394052523697</v>
      </c>
      <c r="Y61" s="6">
        <v>0.68393294362129298</v>
      </c>
      <c r="Z61" s="6">
        <v>0.67309338297663002</v>
      </c>
      <c r="AA61" s="6">
        <v>0.66249867317941402</v>
      </c>
      <c r="AB61" s="6">
        <v>0.65214241529536898</v>
      </c>
      <c r="AC61" s="6">
        <v>0.64201839132457095</v>
      </c>
      <c r="AD61" s="6">
        <v>0.632120558828558</v>
      </c>
      <c r="AE61" s="6">
        <v>0.62244304572237696</v>
      </c>
      <c r="AF61" s="6">
        <v>0.61298014522640198</v>
      </c>
      <c r="AG61" s="6">
        <v>0.60372631097288498</v>
      </c>
      <c r="AH61" s="6">
        <v>0.59467615226238402</v>
      </c>
      <c r="AI61" s="6">
        <v>0.58582442946536994</v>
      </c>
      <c r="AJ61" s="6">
        <v>0.57716604956445805</v>
      </c>
      <c r="AK61" s="6">
        <v>0.56869606183283405</v>
      </c>
      <c r="AL61" s="6">
        <v>0.56040965364465001</v>
      </c>
      <c r="AM61" s="6">
        <v>0.55230214641320496</v>
      </c>
      <c r="AN61" s="6">
        <v>0.54436899165296104</v>
      </c>
      <c r="AO61" s="6">
        <v>0.536605767161486</v>
      </c>
      <c r="AP61" s="6">
        <v>0.52900817331759198</v>
      </c>
      <c r="AQ61" s="6">
        <v>0.52157202949203896</v>
      </c>
      <c r="AR61" s="6">
        <v>0.51429327056728202</v>
      </c>
      <c r="AS61">
        <v>0.50716794356287098</v>
      </c>
    </row>
    <row r="62" spans="2:45" x14ac:dyDescent="0.35">
      <c r="B62">
        <v>27.5</v>
      </c>
      <c r="C62" s="6">
        <v>0.98203657847007897</v>
      </c>
      <c r="D62" s="6">
        <v>0.96450210862547503</v>
      </c>
      <c r="E62" s="6">
        <v>0.94738508098139196</v>
      </c>
      <c r="F62" s="6">
        <v>0.93897960155834204</v>
      </c>
      <c r="G62" s="6">
        <v>0.930674315260275</v>
      </c>
      <c r="H62" s="6">
        <v>0.91435895058650696</v>
      </c>
      <c r="I62" s="6">
        <v>0.89842843598142097</v>
      </c>
      <c r="J62" s="6">
        <v>0.88287252114926296</v>
      </c>
      <c r="K62" s="6">
        <v>0.86768124754498899</v>
      </c>
      <c r="L62" s="6">
        <v>0.85284493971511499</v>
      </c>
      <c r="M62" s="6">
        <v>0.83835419690308399</v>
      </c>
      <c r="N62" s="6">
        <v>0.82419988491090201</v>
      </c>
      <c r="O62" s="6">
        <v>0.81037312820905505</v>
      </c>
      <c r="P62" s="6">
        <v>0.79686530228696295</v>
      </c>
      <c r="Q62" s="6">
        <v>0.78366802623647802</v>
      </c>
      <c r="R62" s="6">
        <v>0.77077315556118298</v>
      </c>
      <c r="S62" s="6">
        <v>0.75817277520444704</v>
      </c>
      <c r="T62" s="6">
        <v>0.74585919278945201</v>
      </c>
      <c r="U62" s="6">
        <v>0.73382493206458599</v>
      </c>
      <c r="V62" s="6">
        <v>0.72206272654783499</v>
      </c>
      <c r="W62" s="6">
        <v>0.71056551336398999</v>
      </c>
      <c r="X62" s="6">
        <v>0.69932642726868499</v>
      </c>
      <c r="Y62" s="6">
        <v>0.68833879485347305</v>
      </c>
      <c r="Z62" s="6">
        <v>0.67759612892633003</v>
      </c>
      <c r="AA62" s="6">
        <v>0.66709212306214705</v>
      </c>
      <c r="AB62" s="6">
        <v>0.656820646317954</v>
      </c>
      <c r="AC62" s="6">
        <v>0.64677573810777</v>
      </c>
      <c r="AD62" s="6">
        <v>0.63695160323215305</v>
      </c>
      <c r="AE62" s="6">
        <v>0.62734260705765499</v>
      </c>
      <c r="AF62" s="6">
        <v>0.61794327084156297</v>
      </c>
      <c r="AG62" s="6">
        <v>0.60874826719743402</v>
      </c>
      <c r="AH62" s="6">
        <v>0.59975241569708604</v>
      </c>
      <c r="AI62" s="6">
        <v>0.59095067860482098</v>
      </c>
      <c r="AJ62" s="6">
        <v>0.58233815673983202</v>
      </c>
      <c r="AK62" s="6">
        <v>0.57391008546281497</v>
      </c>
      <c r="AL62" s="6">
        <v>0.56566183078299004</v>
      </c>
      <c r="AM62" s="6">
        <v>0.55758888558180997</v>
      </c>
      <c r="AN62" s="6">
        <v>0.54968686594976801</v>
      </c>
      <c r="AO62" s="6">
        <v>0.54195150763285005</v>
      </c>
      <c r="AP62" s="6">
        <v>0.53437866258523203</v>
      </c>
      <c r="AQ62" s="6">
        <v>0.52696429562499703</v>
      </c>
      <c r="AR62" s="6">
        <v>0.51970448118968104</v>
      </c>
      <c r="AS62">
        <v>0.51259540018861105</v>
      </c>
    </row>
    <row r="63" spans="2:45" x14ac:dyDescent="0.35">
      <c r="B63">
        <v>28</v>
      </c>
      <c r="C63" s="6">
        <v>0.98235355757363796</v>
      </c>
      <c r="D63" s="6">
        <v>0.96512108414368103</v>
      </c>
      <c r="E63" s="6">
        <v>0.94829166741800297</v>
      </c>
      <c r="F63" s="6">
        <v>0.94002477932323703</v>
      </c>
      <c r="G63" s="6">
        <v>0.93185470174872898</v>
      </c>
      <c r="H63" s="6">
        <v>0.91579987915929395</v>
      </c>
      <c r="I63" s="6">
        <v>0.90011718064151702</v>
      </c>
      <c r="J63" s="6">
        <v>0.88479686771438104</v>
      </c>
      <c r="K63" s="6">
        <v>0.86982947423649903</v>
      </c>
      <c r="L63" s="6">
        <v>0.85520579846447897</v>
      </c>
      <c r="M63" s="6">
        <v>0.84091689534963499</v>
      </c>
      <c r="N63" s="6">
        <v>0.82695406906576197</v>
      </c>
      <c r="O63" s="6">
        <v>0.81330886576087003</v>
      </c>
      <c r="P63" s="6">
        <v>0.79997306652603795</v>
      </c>
      <c r="Q63" s="6">
        <v>0.78693868057473304</v>
      </c>
      <c r="R63" s="6">
        <v>0.77419793862616404</v>
      </c>
      <c r="S63" s="6">
        <v>0.76174328648642098</v>
      </c>
      <c r="T63" s="6">
        <v>0.74956737882137503</v>
      </c>
      <c r="U63" s="6">
        <v>0.73766307311545398</v>
      </c>
      <c r="V63" s="6">
        <v>0.72602342381065499</v>
      </c>
      <c r="W63" s="6">
        <v>0.71464167662026601</v>
      </c>
      <c r="X63" s="6">
        <v>0.70351126301197997</v>
      </c>
      <c r="Y63" s="6">
        <v>0.692625794855251</v>
      </c>
      <c r="Z63" s="6">
        <v>0.68197905922786195</v>
      </c>
      <c r="AA63" s="6">
        <v>0.67156501337689201</v>
      </c>
      <c r="AB63" s="6">
        <v>0.66137777982935197</v>
      </c>
      <c r="AC63" s="6">
        <v>0.65141164164796805</v>
      </c>
      <c r="AD63" s="6">
        <v>0.64166103782767203</v>
      </c>
      <c r="AE63" s="6">
        <v>0.632120558828558</v>
      </c>
      <c r="AF63" s="6">
        <v>0.62278494224112402</v>
      </c>
      <c r="AG63" s="6">
        <v>0.61364906857982404</v>
      </c>
      <c r="AH63" s="6">
        <v>0.604707957201014</v>
      </c>
      <c r="AI63" s="6">
        <v>0.59595676234152595</v>
      </c>
      <c r="AJ63" s="6">
        <v>0.58739076927422995</v>
      </c>
      <c r="AK63" s="6">
        <v>0.57900539057702705</v>
      </c>
      <c r="AL63" s="6">
        <v>0.57079616251184795</v>
      </c>
      <c r="AM63" s="6">
        <v>0.562758741510339</v>
      </c>
      <c r="AN63" s="6">
        <v>0.55488890076299502</v>
      </c>
      <c r="AO63" s="6">
        <v>0.547182526908634</v>
      </c>
      <c r="AP63" s="6">
        <v>0.53963561682116901</v>
      </c>
      <c r="AQ63" s="6">
        <v>0.53224427449075695</v>
      </c>
      <c r="AR63" s="6">
        <v>0.52500470799646504</v>
      </c>
      <c r="AS63">
        <v>0.51791322656771299</v>
      </c>
    </row>
    <row r="64" spans="2:45" x14ac:dyDescent="0.35">
      <c r="B64">
        <v>28.5</v>
      </c>
      <c r="C64" s="6">
        <v>0.982659544325308</v>
      </c>
      <c r="D64" s="6">
        <v>0.96571884642963102</v>
      </c>
      <c r="E64" s="6">
        <v>0.94916755060353697</v>
      </c>
      <c r="F64" s="6">
        <v>0.94103477073201602</v>
      </c>
      <c r="G64" s="6">
        <v>0.932995587119126</v>
      </c>
      <c r="H64" s="6">
        <v>0.91719316400608897</v>
      </c>
      <c r="I64" s="6">
        <v>0.90175075907097302</v>
      </c>
      <c r="J64" s="6">
        <v>0.88665911215230897</v>
      </c>
      <c r="K64" s="6">
        <v>0.87190921760447604</v>
      </c>
      <c r="L64" s="6">
        <v>0.85749231700342199</v>
      </c>
      <c r="M64" s="6">
        <v>0.84339989206753596</v>
      </c>
      <c r="N64" s="6">
        <v>0.82962365778720304</v>
      </c>
      <c r="O64" s="6">
        <v>0.81615555575675502</v>
      </c>
      <c r="P64" s="6">
        <v>0.80298774770272396</v>
      </c>
      <c r="Q64" s="6">
        <v>0.79011260920250104</v>
      </c>
      <c r="R64" s="6">
        <v>0.77752272358765995</v>
      </c>
      <c r="S64" s="6">
        <v>0.76521087602642002</v>
      </c>
      <c r="T64" s="6">
        <v>0.75317004777984797</v>
      </c>
      <c r="U64" s="6">
        <v>0.74139341062659603</v>
      </c>
      <c r="V64" s="6">
        <v>0.72987432145111197</v>
      </c>
      <c r="W64" s="6">
        <v>0.71860631699042499</v>
      </c>
      <c r="X64" s="6">
        <v>0.70758310873475605</v>
      </c>
      <c r="Y64" s="6">
        <v>0.69679857797733602</v>
      </c>
      <c r="Z64" s="6">
        <v>0.68624677100897502</v>
      </c>
      <c r="AA64" s="6">
        <v>0.67592189445304596</v>
      </c>
      <c r="AB64" s="6">
        <v>0.66581831073668596</v>
      </c>
      <c r="AC64" s="6">
        <v>0.655930533694145</v>
      </c>
      <c r="AD64" s="6">
        <v>0.64625322429832399</v>
      </c>
      <c r="AE64" s="6">
        <v>0.63678118651669402</v>
      </c>
      <c r="AF64" s="6">
        <v>0.62750936328787099</v>
      </c>
      <c r="AG64" s="6">
        <v>0.61843283261524595</v>
      </c>
      <c r="AH64" s="6">
        <v>0.60954680377419501</v>
      </c>
      <c r="AI64" s="6">
        <v>0.600846613629474</v>
      </c>
      <c r="AJ64" s="6">
        <v>0.59232772305951897</v>
      </c>
      <c r="AK64" s="6">
        <v>0.58398571348448203</v>
      </c>
      <c r="AL64" s="6">
        <v>0.575816283494896</v>
      </c>
      <c r="AM64" s="6">
        <v>0.567815245578006</v>
      </c>
      <c r="AN64" s="6">
        <v>0.55997852293883499</v>
      </c>
      <c r="AO64" s="6">
        <v>0.55230214641320496</v>
      </c>
      <c r="AP64" s="6">
        <v>0.54478225146994996</v>
      </c>
      <c r="AQ64" s="6">
        <v>0.537415075299708</v>
      </c>
      <c r="AR64" s="6">
        <v>0.53019695398770705</v>
      </c>
      <c r="AS64">
        <v>0.52312431976806195</v>
      </c>
    </row>
    <row r="65" spans="1:45" x14ac:dyDescent="0.35">
      <c r="B65">
        <v>29</v>
      </c>
      <c r="C65" s="6">
        <v>0.98295510075770298</v>
      </c>
      <c r="D65" s="6">
        <v>0.96629646748001996</v>
      </c>
      <c r="E65" s="6">
        <v>0.95001426382422205</v>
      </c>
      <c r="F65" s="6">
        <v>0.94201132247142905</v>
      </c>
      <c r="G65" s="6">
        <v>0.93409892047780096</v>
      </c>
      <c r="H65" s="6">
        <v>0.91854112760975604</v>
      </c>
      <c r="I65" s="6">
        <v>0.90333182754131802</v>
      </c>
      <c r="J65" s="6">
        <v>0.88846220762961403</v>
      </c>
      <c r="K65" s="6">
        <v>0.87392369335795295</v>
      </c>
      <c r="L65" s="6">
        <v>0.85970794162660802</v>
      </c>
      <c r="M65" s="6">
        <v>0.84580683423815195</v>
      </c>
      <c r="N65" s="6">
        <v>0.83221247157158695</v>
      </c>
      <c r="O65" s="6">
        <v>0.81891716643968304</v>
      </c>
      <c r="P65" s="6">
        <v>0.80591343812409499</v>
      </c>
      <c r="Q65" s="6">
        <v>0.79319400658301698</v>
      </c>
      <c r="R65" s="6">
        <v>0.78075178682625601</v>
      </c>
      <c r="S65" s="6">
        <v>0.76857988345279404</v>
      </c>
      <c r="T65" s="6">
        <v>0.75667158534603396</v>
      </c>
      <c r="U65" s="6">
        <v>0.74502036052207898</v>
      </c>
      <c r="V65" s="6">
        <v>0.73361985112652395</v>
      </c>
      <c r="W65" s="6">
        <v>0.72246386857540001</v>
      </c>
      <c r="X65" s="6">
        <v>0.71154638883599097</v>
      </c>
      <c r="Y65" s="6">
        <v>0.70086154784344601</v>
      </c>
      <c r="Z65" s="6">
        <v>0.69040363704915098</v>
      </c>
      <c r="AA65" s="6">
        <v>0.68016709909700701</v>
      </c>
      <c r="AB65" s="6">
        <v>0.67014652362384997</v>
      </c>
      <c r="AC65" s="6">
        <v>0.66033664318035401</v>
      </c>
      <c r="AD65" s="6">
        <v>0.65073232926889502</v>
      </c>
      <c r="AE65" s="6">
        <v>0.64132858849493002</v>
      </c>
      <c r="AF65" s="6">
        <v>0.632120558828558</v>
      </c>
      <c r="AG65" s="6">
        <v>0.62310350597305098</v>
      </c>
      <c r="AH65" s="6">
        <v>0.61427281983719795</v>
      </c>
      <c r="AI65" s="6">
        <v>0.605624011108432</v>
      </c>
      <c r="AJ65" s="6">
        <v>0.59715270792379005</v>
      </c>
      <c r="AK65" s="6">
        <v>0.58885465263583803</v>
      </c>
      <c r="AL65" s="6">
        <v>0.58072569867079504</v>
      </c>
      <c r="AM65" s="6">
        <v>0.57276180747614602</v>
      </c>
      <c r="AN65" s="6">
        <v>0.56495904555514098</v>
      </c>
      <c r="AO65" s="6">
        <v>0.55731358158564204</v>
      </c>
      <c r="AP65" s="6">
        <v>0.54982168362085504</v>
      </c>
      <c r="AQ65" s="6">
        <v>0.54247971636956105</v>
      </c>
      <c r="AR65" s="6">
        <v>0.53528413855352597</v>
      </c>
      <c r="AS65">
        <v>0.528231500339847</v>
      </c>
    </row>
    <row r="66" spans="1:45" x14ac:dyDescent="0.35">
      <c r="B66">
        <v>29.5</v>
      </c>
      <c r="C66" s="6">
        <v>0.98324075123153198</v>
      </c>
      <c r="D66" s="6">
        <v>0.96685494826742502</v>
      </c>
      <c r="E66" s="6">
        <v>0.95083323997486402</v>
      </c>
      <c r="F66" s="6">
        <v>0.942956067548813</v>
      </c>
      <c r="G66" s="6">
        <v>0.93516652484406204</v>
      </c>
      <c r="H66" s="6">
        <v>0.91984594404930498</v>
      </c>
      <c r="I66" s="6">
        <v>0.90486287470836801</v>
      </c>
      <c r="J66" s="6">
        <v>0.89020892333449197</v>
      </c>
      <c r="K66" s="6">
        <v>0.87587591947532195</v>
      </c>
      <c r="L66" s="6">
        <v>0.86185590953334001</v>
      </c>
      <c r="M66" s="6">
        <v>0.84814115076252905</v>
      </c>
      <c r="N66" s="6">
        <v>0.83472410543610098</v>
      </c>
      <c r="O66" s="6">
        <v>0.821597435180352</v>
      </c>
      <c r="P66" s="6">
        <v>0.80875399546976601</v>
      </c>
      <c r="Q66" s="6">
        <v>0.79618683027872095</v>
      </c>
      <c r="R66" s="6">
        <v>0.78388916688521404</v>
      </c>
      <c r="S66" s="6">
        <v>0.77185441082220396</v>
      </c>
      <c r="T66" s="6">
        <v>0.76007614097228204</v>
      </c>
      <c r="U66" s="6">
        <v>0.74854810480151202</v>
      </c>
      <c r="V66" s="6">
        <v>0.73726421372840201</v>
      </c>
      <c r="W66" s="6">
        <v>0.72621853862409003</v>
      </c>
      <c r="X66" s="6">
        <v>0.71540530543994096</v>
      </c>
      <c r="Y66" s="6">
        <v>0.70481889095886296</v>
      </c>
      <c r="Z66" s="6">
        <v>0.69445381866677003</v>
      </c>
      <c r="AA66" s="6">
        <v>0.68430475474070396</v>
      </c>
      <c r="AB66" s="6">
        <v>0.67436650415024801</v>
      </c>
      <c r="AC66" s="6">
        <v>0.66463400686895202</v>
      </c>
      <c r="AD66" s="6">
        <v>0.65510233419260799</v>
      </c>
      <c r="AE66" s="6">
        <v>0.64576668516126501</v>
      </c>
      <c r="AF66" s="6">
        <v>0.63662238308201502</v>
      </c>
      <c r="AG66" s="6">
        <v>0.62766487214962197</v>
      </c>
      <c r="AH66" s="6">
        <v>0.61888971416219196</v>
      </c>
      <c r="AI66" s="6">
        <v>0.610292585329135</v>
      </c>
      <c r="AJ66" s="6">
        <v>0.60186927316876404</v>
      </c>
      <c r="AK66" s="6">
        <v>0.59361567349295397</v>
      </c>
      <c r="AL66" s="6">
        <v>0.58552778747634804</v>
      </c>
      <c r="AM66" s="6">
        <v>0.57760171880770095</v>
      </c>
      <c r="AN66" s="6">
        <v>0.56983367092096804</v>
      </c>
      <c r="AO66" s="6">
        <v>0.562219944303883</v>
      </c>
      <c r="AP66" s="6">
        <v>0.55475693388177705</v>
      </c>
      <c r="AQ66" s="6">
        <v>0.54744112647449406</v>
      </c>
      <c r="AR66" s="6">
        <v>0.54026909832430003</v>
      </c>
      <c r="AS66">
        <v>0.53323751269275599</v>
      </c>
    </row>
    <row r="67" spans="1:45" x14ac:dyDescent="0.35">
      <c r="B67">
        <v>30</v>
      </c>
      <c r="C67" s="6">
        <v>0.98351698553982303</v>
      </c>
      <c r="D67" s="6">
        <v>0.96739522452573401</v>
      </c>
      <c r="E67" s="6">
        <v>0.95162581964040405</v>
      </c>
      <c r="F67" s="6">
        <v>0.94387053438836699</v>
      </c>
      <c r="G67" s="6">
        <v>0.93620010717789404</v>
      </c>
      <c r="H67" s="6">
        <v>0.921109650656316</v>
      </c>
      <c r="I67" s="6">
        <v>0.90634623461009101</v>
      </c>
      <c r="J67" s="6">
        <v>0.89190185855665005</v>
      </c>
      <c r="K67" s="6">
        <v>0.87776873113256704</v>
      </c>
      <c r="L67" s="6">
        <v>0.86393926439427404</v>
      </c>
      <c r="M67" s="6">
        <v>0.85040606827863197</v>
      </c>
      <c r="N67" s="6">
        <v>0.83716194521879606</v>
      </c>
      <c r="O67" s="6">
        <v>0.82419988491090201</v>
      </c>
      <c r="P67" s="6">
        <v>0.81151305922728501</v>
      </c>
      <c r="Q67" s="6">
        <v>0.79909481727202303</v>
      </c>
      <c r="R67" s="6">
        <v>0.78693868057473304</v>
      </c>
      <c r="S67" s="6">
        <v>0.77503833841868996</v>
      </c>
      <c r="T67" s="6">
        <v>0.76338764329940501</v>
      </c>
      <c r="U67" s="6">
        <v>0.75198060650995602</v>
      </c>
      <c r="V67" s="6">
        <v>0.74081139384945205</v>
      </c>
      <c r="W67" s="6">
        <v>0.72987432145111197</v>
      </c>
      <c r="X67" s="6">
        <v>0.71916385172655795</v>
      </c>
      <c r="Y67" s="6">
        <v>0.70867458942300099</v>
      </c>
      <c r="Z67" s="6">
        <v>0.69840127779011596</v>
      </c>
      <c r="AA67" s="6">
        <v>0.68833879485347305</v>
      </c>
      <c r="AB67" s="6">
        <v>0.67848214979150601</v>
      </c>
      <c r="AC67" s="6">
        <v>0.66882647941305895</v>
      </c>
      <c r="AD67" s="6">
        <v>0.65936704473266805</v>
      </c>
      <c r="AE67" s="6">
        <v>0.65009922764078798</v>
      </c>
      <c r="AF67" s="6">
        <v>0.64101852766628398</v>
      </c>
      <c r="AG67" s="6">
        <v>0.632120558828558</v>
      </c>
      <c r="AH67" s="6">
        <v>0.62340104657676598</v>
      </c>
      <c r="AI67" s="6">
        <v>0.61485582481367596</v>
      </c>
      <c r="AJ67" s="6">
        <v>0.60648083300174604</v>
      </c>
      <c r="AK67" s="6">
        <v>0.59827211334910901</v>
      </c>
      <c r="AL67" s="6">
        <v>0.59022580807320202</v>
      </c>
      <c r="AM67" s="6">
        <v>0.58233815673983202</v>
      </c>
      <c r="AN67" s="6">
        <v>0.57460549367556402</v>
      </c>
      <c r="AO67" s="6">
        <v>0.567024245451349</v>
      </c>
      <c r="AP67" s="6">
        <v>0.55959092843537495</v>
      </c>
      <c r="AQ67" s="6">
        <v>0.55230214641320496</v>
      </c>
      <c r="AR67" s="6">
        <v>0.545154588273285</v>
      </c>
      <c r="AS67">
        <v>0.53814502575599499</v>
      </c>
    </row>
    <row r="69" spans="1:45" x14ac:dyDescent="0.35">
      <c r="A69" s="7" t="s">
        <v>68</v>
      </c>
    </row>
    <row r="70" spans="1:45" x14ac:dyDescent="0.35">
      <c r="A70" s="7" t="s">
        <v>69</v>
      </c>
    </row>
    <row r="72" spans="1:45" x14ac:dyDescent="0.35">
      <c r="A72" s="11" t="s">
        <v>107</v>
      </c>
    </row>
    <row r="73" spans="1:45" x14ac:dyDescent="0.35">
      <c r="A73" s="10" t="s">
        <v>106</v>
      </c>
    </row>
    <row r="74" spans="1:45" x14ac:dyDescent="0.35">
      <c r="A74" s="6" t="s">
        <v>108</v>
      </c>
    </row>
    <row r="75" spans="1:45" x14ac:dyDescent="0.35">
      <c r="A75" s="7" t="s">
        <v>38</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70"/>
  <sheetViews>
    <sheetView workbookViewId="0">
      <selection activeCell="A15" sqref="A15"/>
    </sheetView>
  </sheetViews>
  <sheetFormatPr defaultColWidth="9.26953125" defaultRowHeight="14.5" x14ac:dyDescent="0.35"/>
  <cols>
    <col min="1" max="1" width="43.1796875" customWidth="1"/>
    <col min="2" max="2" width="21" customWidth="1"/>
    <col min="3" max="3" width="23.453125" customWidth="1"/>
    <col min="4" max="4" width="21.453125" bestFit="1" customWidth="1"/>
    <col min="5" max="5" width="22.7265625" customWidth="1"/>
    <col min="6" max="6" width="25.81640625" customWidth="1"/>
    <col min="7" max="7" width="29.1796875" customWidth="1"/>
    <col min="8" max="8" width="25.54296875" customWidth="1"/>
    <col min="9" max="9" width="18" customWidth="1"/>
    <col min="10" max="10" width="13.453125" customWidth="1"/>
  </cols>
  <sheetData>
    <row r="1" spans="1:12" x14ac:dyDescent="0.35">
      <c r="A1" s="1" t="s">
        <v>18</v>
      </c>
      <c r="B1" t="s">
        <v>18</v>
      </c>
      <c r="C1" t="s">
        <v>18</v>
      </c>
    </row>
    <row r="2" spans="1:12" x14ac:dyDescent="0.35">
      <c r="A2" t="s">
        <v>10</v>
      </c>
      <c r="B2" t="s">
        <v>11</v>
      </c>
      <c r="C2" t="s">
        <v>12</v>
      </c>
      <c r="L2" s="7" t="s">
        <v>59</v>
      </c>
    </row>
    <row r="3" spans="1:12" x14ac:dyDescent="0.35">
      <c r="A3" s="11">
        <f>'Coded Inputs'!D3</f>
        <v>80</v>
      </c>
      <c r="B3" s="11">
        <f>'Coded Inputs'!D4</f>
        <v>60</v>
      </c>
      <c r="C3" s="11">
        <f>'Coded Inputs'!D5</f>
        <v>300</v>
      </c>
      <c r="L3" s="7" t="s">
        <v>175</v>
      </c>
    </row>
    <row r="5" spans="1:12" x14ac:dyDescent="0.35">
      <c r="A5" t="s">
        <v>129</v>
      </c>
      <c r="L5" s="11" t="s">
        <v>107</v>
      </c>
    </row>
    <row r="6" spans="1:12" x14ac:dyDescent="0.35">
      <c r="A6" s="11">
        <f xml:space="preserve"> SQRT(4*C3/PI())</f>
        <v>19.544100476116796</v>
      </c>
      <c r="L6" s="10" t="s">
        <v>106</v>
      </c>
    </row>
    <row r="7" spans="1:12" x14ac:dyDescent="0.35">
      <c r="L7" s="6" t="s">
        <v>108</v>
      </c>
    </row>
    <row r="8" spans="1:12" x14ac:dyDescent="0.35">
      <c r="L8" s="7" t="s">
        <v>38</v>
      </c>
    </row>
    <row r="9" spans="1:12" x14ac:dyDescent="0.35">
      <c r="A9" t="s">
        <v>13</v>
      </c>
      <c r="B9" t="s">
        <v>130</v>
      </c>
    </row>
    <row r="10" spans="1:12" x14ac:dyDescent="0.35">
      <c r="A10" t="s">
        <v>43</v>
      </c>
      <c r="B10" s="10">
        <f>VLOOKUP(A$6,$B$20:$F$270,2,TRUE)/4</f>
        <v>0.12764932562620426</v>
      </c>
    </row>
    <row r="11" spans="1:12" x14ac:dyDescent="0.35">
      <c r="A11" t="s">
        <v>44</v>
      </c>
      <c r="B11" s="10">
        <f>VLOOKUP(A$6,$B$20:$F$270,3,TRUE)/4</f>
        <v>4.621081725759775E-2</v>
      </c>
    </row>
    <row r="12" spans="1:12" x14ac:dyDescent="0.35">
      <c r="A12" t="s">
        <v>47</v>
      </c>
      <c r="B12" s="10">
        <f>VLOOKUP(A$6,$B$20:$F$270,4,TRUE)/4</f>
        <v>6.1401131734506252E-2</v>
      </c>
    </row>
    <row r="13" spans="1:12" x14ac:dyDescent="0.35">
      <c r="A13" t="s">
        <v>205</v>
      </c>
      <c r="B13" s="10">
        <f>(1/(1+EXP(-(LN(A6)-3.8056)/0.2839)))/4</f>
        <v>1.2626070080356211E-2</v>
      </c>
    </row>
    <row r="15" spans="1:12" x14ac:dyDescent="0.35">
      <c r="A15" t="s">
        <v>128</v>
      </c>
    </row>
    <row r="16" spans="1:12" x14ac:dyDescent="0.35">
      <c r="A16" t="s">
        <v>26</v>
      </c>
      <c r="B16" t="s">
        <v>44</v>
      </c>
      <c r="C16" t="s">
        <v>47</v>
      </c>
      <c r="D16" t="s">
        <v>48</v>
      </c>
    </row>
    <row r="17" spans="1:8" x14ac:dyDescent="0.35">
      <c r="A17" s="10">
        <f>B10</f>
        <v>0.12764932562620426</v>
      </c>
      <c r="B17" s="10">
        <f>B11</f>
        <v>4.621081725759775E-2</v>
      </c>
      <c r="C17" s="10">
        <f>B12</f>
        <v>6.1401131734506252E-2</v>
      </c>
      <c r="D17" s="10">
        <f>B13</f>
        <v>1.2626070080356211E-2</v>
      </c>
    </row>
    <row r="19" spans="1:8" x14ac:dyDescent="0.35">
      <c r="A19" t="s">
        <v>179</v>
      </c>
    </row>
    <row r="20" spans="1:8" x14ac:dyDescent="0.35">
      <c r="A20" t="s">
        <v>180</v>
      </c>
      <c r="B20" t="s">
        <v>181</v>
      </c>
      <c r="C20" t="s">
        <v>178</v>
      </c>
      <c r="D20" t="s">
        <v>193</v>
      </c>
      <c r="E20" t="s">
        <v>203</v>
      </c>
      <c r="F20" t="s">
        <v>204</v>
      </c>
      <c r="H20" t="s">
        <v>142</v>
      </c>
    </row>
    <row r="21" spans="1:8" x14ac:dyDescent="0.35">
      <c r="A21">
        <v>1</v>
      </c>
      <c r="B21">
        <f>ROUND(A21*(A$3+B$3)/150,0)</f>
        <v>1</v>
      </c>
      <c r="C21">
        <v>4.7299381726006298E-2</v>
      </c>
      <c r="D21">
        <v>1.2936493126957001E-2</v>
      </c>
      <c r="E21">
        <v>1.63696971056695E-2</v>
      </c>
      <c r="F21" s="17">
        <v>1.5080072513094101E-6</v>
      </c>
      <c r="H21" s="10">
        <f>IF('Design explorer evaluation'!H$9=0,120,'Carcass density'!A21)</f>
        <v>1</v>
      </c>
    </row>
    <row r="22" spans="1:8" x14ac:dyDescent="0.35">
      <c r="A22">
        <v>2</v>
      </c>
      <c r="B22">
        <f t="shared" ref="B22:B85" si="0">ROUND(A22*(A$3+B$3)/150,0)</f>
        <v>2</v>
      </c>
      <c r="C22">
        <v>9.1396717159656596E-2</v>
      </c>
      <c r="D22">
        <v>2.54066770710593E-2</v>
      </c>
      <c r="E22">
        <v>3.2221204445153098E-2</v>
      </c>
      <c r="F22" s="17">
        <v>1.73274514816854E-5</v>
      </c>
      <c r="H22" s="10">
        <f>IF('Design explorer evaluation'!H$9=0,120,'Carcass density'!A22)</f>
        <v>2</v>
      </c>
    </row>
    <row r="23" spans="1:8" x14ac:dyDescent="0.35">
      <c r="A23">
        <v>3</v>
      </c>
      <c r="B23">
        <f t="shared" si="0"/>
        <v>3</v>
      </c>
      <c r="C23">
        <v>0.13244133192715499</v>
      </c>
      <c r="D23">
        <v>3.7423458008096502E-2</v>
      </c>
      <c r="E23">
        <v>4.7569174033102998E-2</v>
      </c>
      <c r="F23" s="17">
        <v>7.2271800376657298E-5</v>
      </c>
      <c r="H23" s="10">
        <f>IF('Design explorer evaluation'!H$9=0,120,'Carcass density'!A23)</f>
        <v>3</v>
      </c>
    </row>
    <row r="24" spans="1:8" x14ac:dyDescent="0.35">
      <c r="A24">
        <v>4</v>
      </c>
      <c r="B24">
        <f t="shared" si="0"/>
        <v>4</v>
      </c>
      <c r="C24">
        <v>0.17058255165470701</v>
      </c>
      <c r="D24">
        <v>4.8999742113857998E-2</v>
      </c>
      <c r="E24">
        <v>6.2428257884171098E-2</v>
      </c>
      <c r="F24">
        <v>1.9906453212116101E-4</v>
      </c>
      <c r="H24" s="10">
        <f>IF('Design explorer evaluation'!H$9=0,120,'Carcass density'!A24)</f>
        <v>4</v>
      </c>
    </row>
    <row r="25" spans="1:8" x14ac:dyDescent="0.35">
      <c r="A25">
        <v>5</v>
      </c>
      <c r="B25">
        <f t="shared" si="0"/>
        <v>5</v>
      </c>
      <c r="C25">
        <v>0.205969701968515</v>
      </c>
      <c r="D25">
        <v>6.0148435564133303E-2</v>
      </c>
      <c r="E25">
        <v>7.6813108013009404E-2</v>
      </c>
      <c r="F25">
        <v>4.3676040435814897E-4</v>
      </c>
      <c r="H25" s="10">
        <f>IF('Design explorer evaluation'!H$9=0,120,'Carcass density'!A25)</f>
        <v>5</v>
      </c>
    </row>
    <row r="26" spans="1:8" x14ac:dyDescent="0.35">
      <c r="A26">
        <v>6</v>
      </c>
      <c r="B26">
        <f t="shared" si="0"/>
        <v>6</v>
      </c>
      <c r="C26">
        <v>0.23875210849478401</v>
      </c>
      <c r="D26">
        <v>7.0882444534712E-2</v>
      </c>
      <c r="E26">
        <v>9.0738376434269893E-2</v>
      </c>
      <c r="F26">
        <v>8.2980846943636404E-4</v>
      </c>
      <c r="H26" s="10">
        <f>IF('Design explorer evaluation'!H$9=0,120,'Carcass density'!A26)</f>
        <v>6</v>
      </c>
    </row>
    <row r="27" spans="1:8" x14ac:dyDescent="0.35">
      <c r="A27">
        <v>7</v>
      </c>
      <c r="B27">
        <f t="shared" si="0"/>
        <v>7</v>
      </c>
      <c r="C27">
        <v>0.26907909685971798</v>
      </c>
      <c r="D27">
        <v>8.1214675201383396E-2</v>
      </c>
      <c r="E27">
        <v>0.104218715162605</v>
      </c>
      <c r="F27">
        <v>1.4273458850399801E-3</v>
      </c>
      <c r="H27" s="10">
        <f>IF('Design explorer evaluation'!H$9=0,120,'Carcass density'!A27)</f>
        <v>7</v>
      </c>
    </row>
    <row r="28" spans="1:8" x14ac:dyDescent="0.35">
      <c r="A28">
        <v>8</v>
      </c>
      <c r="B28">
        <f t="shared" si="0"/>
        <v>7</v>
      </c>
      <c r="C28">
        <v>0.29709999268952197</v>
      </c>
      <c r="D28">
        <v>9.1158033739937194E-2</v>
      </c>
      <c r="E28">
        <v>0.117268776212666</v>
      </c>
      <c r="F28">
        <v>2.2825801469115799E-3</v>
      </c>
      <c r="H28" s="10">
        <f>IF('Design explorer evaluation'!H$9=0,120,'Carcass density'!A28)</f>
        <v>8</v>
      </c>
    </row>
    <row r="29" spans="1:8" x14ac:dyDescent="0.35">
      <c r="A29">
        <v>9</v>
      </c>
      <c r="B29">
        <f t="shared" si="0"/>
        <v>8</v>
      </c>
      <c r="C29">
        <v>0.322964121610399</v>
      </c>
      <c r="D29">
        <v>0.10072542632616301</v>
      </c>
      <c r="E29">
        <v>0.12990321159910501</v>
      </c>
      <c r="F29">
        <v>3.4521891140336701E-3</v>
      </c>
      <c r="H29" s="10">
        <f>IF('Design explorer evaluation'!H$9=0,120,'Carcass density'!A29)</f>
        <v>9</v>
      </c>
    </row>
    <row r="30" spans="1:8" x14ac:dyDescent="0.35">
      <c r="A30">
        <v>10</v>
      </c>
      <c r="B30">
        <f t="shared" si="0"/>
        <v>9</v>
      </c>
      <c r="C30">
        <v>0.34682080924855502</v>
      </c>
      <c r="D30">
        <v>0.109929759135849</v>
      </c>
      <c r="E30">
        <v>0.14213667333657501</v>
      </c>
      <c r="F30">
        <v>4.9956968253377096E-3</v>
      </c>
      <c r="H30" s="10">
        <f>IF('Design explorer evaluation'!H$9=0,120,'Carcass density'!A30)</f>
        <v>10</v>
      </c>
    </row>
    <row r="31" spans="1:8" x14ac:dyDescent="0.35">
      <c r="A31">
        <v>11</v>
      </c>
      <c r="B31">
        <f t="shared" si="0"/>
        <v>10</v>
      </c>
      <c r="C31">
        <v>0.36882214847985201</v>
      </c>
      <c r="D31">
        <v>0.118783938344787</v>
      </c>
      <c r="E31">
        <v>0.153983813439727</v>
      </c>
      <c r="F31">
        <v>6.9747977000185401E-3</v>
      </c>
      <c r="H31" s="10">
        <f>IF('Design explorer evaluation'!H$9=0,120,'Carcass density'!A31)</f>
        <v>11</v>
      </c>
    </row>
    <row r="32" spans="1:8" x14ac:dyDescent="0.35">
      <c r="A32">
        <v>12</v>
      </c>
      <c r="B32">
        <f t="shared" si="0"/>
        <v>11</v>
      </c>
      <c r="C32">
        <v>0.38913130117879302</v>
      </c>
      <c r="D32">
        <v>0.12730087012876501</v>
      </c>
      <c r="E32">
        <v>0.16545928392321299</v>
      </c>
      <c r="F32">
        <v>9.4526109484090199E-3</v>
      </c>
      <c r="H32" s="10">
        <f>IF('Design explorer evaluation'!H$9=0,120,'Carcass density'!A32)</f>
        <v>12</v>
      </c>
    </row>
    <row r="33" spans="1:8" x14ac:dyDescent="0.35">
      <c r="A33">
        <v>13</v>
      </c>
      <c r="B33">
        <f t="shared" si="0"/>
        <v>12</v>
      </c>
      <c r="C33">
        <v>0.40791419646953803</v>
      </c>
      <c r="D33">
        <v>0.13549346066357201</v>
      </c>
      <c r="E33">
        <v>0.17657773680168501</v>
      </c>
      <c r="F33">
        <v>1.24928541547321E-2</v>
      </c>
      <c r="H33" s="10">
        <f>IF('Design explorer evaluation'!H$9=0,120,'Carcass density'!A33)</f>
        <v>13</v>
      </c>
    </row>
    <row r="34" spans="1:8" x14ac:dyDescent="0.35">
      <c r="A34">
        <v>14</v>
      </c>
      <c r="B34">
        <f t="shared" si="0"/>
        <v>13</v>
      </c>
      <c r="C34">
        <v>0.42533676347624899</v>
      </c>
      <c r="D34">
        <v>0.14337461612499899</v>
      </c>
      <c r="E34">
        <v>0.18735382408979601</v>
      </c>
      <c r="F34">
        <v>1.6158931426781199E-2</v>
      </c>
      <c r="H34" s="10">
        <f>IF('Design explorer evaluation'!H$9=0,120,'Carcass density'!A34)</f>
        <v>14</v>
      </c>
    </row>
    <row r="35" spans="1:8" x14ac:dyDescent="0.35">
      <c r="A35">
        <v>15</v>
      </c>
      <c r="B35">
        <f t="shared" si="0"/>
        <v>14</v>
      </c>
      <c r="C35">
        <v>0.441564931323086</v>
      </c>
      <c r="D35">
        <v>0.15095724268883501</v>
      </c>
      <c r="E35">
        <v>0.19780219780219799</v>
      </c>
      <c r="F35">
        <v>2.0512937866735002E-2</v>
      </c>
      <c r="H35" s="10">
        <f>IF('Design explorer evaluation'!H$9=0,120,'Carcass density'!A35)</f>
        <v>15</v>
      </c>
    </row>
    <row r="36" spans="1:8" x14ac:dyDescent="0.35">
      <c r="A36">
        <v>16</v>
      </c>
      <c r="B36">
        <f t="shared" si="0"/>
        <v>15</v>
      </c>
      <c r="C36">
        <v>0.45676462913421201</v>
      </c>
      <c r="D36">
        <v>0.158254246530868</v>
      </c>
      <c r="E36">
        <v>0.20793721670311499</v>
      </c>
      <c r="F36">
        <v>2.5614588638346401E-2</v>
      </c>
      <c r="H36" s="10">
        <f>IF('Design explorer evaluation'!H$9=0,120,'Carcass density'!A36)</f>
        <v>16</v>
      </c>
    </row>
    <row r="37" spans="1:8" x14ac:dyDescent="0.35">
      <c r="A37">
        <v>17</v>
      </c>
      <c r="B37">
        <f t="shared" si="0"/>
        <v>16</v>
      </c>
      <c r="C37">
        <v>0.471101786033787</v>
      </c>
      <c r="D37">
        <v>0.16527853382689001</v>
      </c>
      <c r="E37">
        <v>0.21777206655506501</v>
      </c>
      <c r="F37">
        <v>3.1520087587288498E-2</v>
      </c>
      <c r="H37" s="10">
        <f>IF('Design explorer evaluation'!H$9=0,120,'Carcass density'!A37)</f>
        <v>17</v>
      </c>
    </row>
    <row r="38" spans="1:8" x14ac:dyDescent="0.35">
      <c r="A38">
        <v>18</v>
      </c>
      <c r="B38">
        <f t="shared" si="0"/>
        <v>17</v>
      </c>
      <c r="C38">
        <v>0.48474233114597198</v>
      </c>
      <c r="D38">
        <v>0.17204301075268799</v>
      </c>
      <c r="E38">
        <v>0.22731963987013901</v>
      </c>
      <c r="F38">
        <v>3.8280957042048501E-2</v>
      </c>
      <c r="H38" s="10">
        <f>IF('Design explorer evaluation'!H$9=0,120,'Carcass density'!A38)</f>
        <v>18</v>
      </c>
    </row>
    <row r="39" spans="1:8" x14ac:dyDescent="0.35">
      <c r="A39">
        <v>19</v>
      </c>
      <c r="B39">
        <f t="shared" si="0"/>
        <v>18</v>
      </c>
      <c r="C39">
        <v>0.49785219359492799</v>
      </c>
      <c r="D39">
        <v>0.17856047233825501</v>
      </c>
      <c r="E39">
        <v>0.23659282916042901</v>
      </c>
      <c r="F39">
        <v>4.5942856779826298E-2</v>
      </c>
      <c r="H39" s="10">
        <f>IF('Design explorer evaluation'!H$9=0,120,'Carcass density'!A39)</f>
        <v>19</v>
      </c>
    </row>
    <row r="40" spans="1:8" x14ac:dyDescent="0.35">
      <c r="A40">
        <v>20</v>
      </c>
      <c r="B40">
        <f t="shared" si="0"/>
        <v>19</v>
      </c>
      <c r="C40">
        <v>0.51059730250481705</v>
      </c>
      <c r="D40">
        <v>0.184843269030391</v>
      </c>
      <c r="E40">
        <v>0.24560452693802501</v>
      </c>
      <c r="F40">
        <v>5.4544425784712497E-2</v>
      </c>
      <c r="H40" s="10">
        <f>IF('Design explorer evaluation'!H$9=0,120,'Carcass density'!A40)</f>
        <v>20</v>
      </c>
    </row>
    <row r="41" spans="1:8" x14ac:dyDescent="0.35">
      <c r="A41">
        <v>21</v>
      </c>
      <c r="B41">
        <f t="shared" si="0"/>
        <v>20</v>
      </c>
      <c r="C41">
        <v>0.52312975075150203</v>
      </c>
      <c r="D41">
        <v>0.190903640130096</v>
      </c>
      <c r="E41">
        <v>0.25436762571501698</v>
      </c>
      <c r="F41">
        <v>6.4116184893091399E-2</v>
      </c>
      <c r="H41" s="10">
        <f>IF('Design explorer evaluation'!H$9=0,120,'Carcass density'!A41)</f>
        <v>21</v>
      </c>
    </row>
    <row r="42" spans="1:8" x14ac:dyDescent="0.35">
      <c r="A42">
        <v>22</v>
      </c>
      <c r="B42">
        <f t="shared" si="0"/>
        <v>21</v>
      </c>
      <c r="C42">
        <v>0.53554628621765799</v>
      </c>
      <c r="D42">
        <v>0.19675382493837201</v>
      </c>
      <c r="E42">
        <v>0.26289501800349802</v>
      </c>
      <c r="F42">
        <v>7.4679541238932903E-2</v>
      </c>
      <c r="H42" s="10">
        <f>IF('Design explorer evaluation'!H$9=0,120,'Carcass density'!A42)</f>
        <v>22</v>
      </c>
    </row>
    <row r="43" spans="1:8" x14ac:dyDescent="0.35">
      <c r="A43">
        <v>23</v>
      </c>
      <c r="B43">
        <f t="shared" si="0"/>
        <v>21</v>
      </c>
      <c r="C43">
        <v>0.54792982053766004</v>
      </c>
      <c r="D43">
        <v>0.202406062756221</v>
      </c>
      <c r="E43">
        <v>0.27119959631555801</v>
      </c>
      <c r="F43">
        <v>8.6245936145317004E-2</v>
      </c>
      <c r="H43" s="10">
        <f>IF('Design explorer evaluation'!H$9=0,120,'Carcass density'!A43)</f>
        <v>23</v>
      </c>
    </row>
    <row r="44" spans="1:8" x14ac:dyDescent="0.35">
      <c r="A44">
        <v>24</v>
      </c>
      <c r="B44">
        <f t="shared" si="0"/>
        <v>22</v>
      </c>
      <c r="C44">
        <v>0.56036326534588599</v>
      </c>
      <c r="D44">
        <v>0.20787259288464399</v>
      </c>
      <c r="E44">
        <v>0.27929425316328799</v>
      </c>
      <c r="F44">
        <v>9.8816176423684995E-2</v>
      </c>
      <c r="H44" s="10">
        <f>IF('Design explorer evaluation'!H$9=0,120,'Carcass density'!A44)</f>
        <v>24</v>
      </c>
    </row>
    <row r="45" spans="1:8" x14ac:dyDescent="0.35">
      <c r="A45">
        <v>25</v>
      </c>
      <c r="B45">
        <f t="shared" si="0"/>
        <v>23</v>
      </c>
      <c r="C45">
        <v>0.57292953227671195</v>
      </c>
      <c r="D45">
        <v>0.21316565462464299</v>
      </c>
      <c r="E45">
        <v>0.28719188105877802</v>
      </c>
      <c r="F45">
        <v>0.11237998476073301</v>
      </c>
      <c r="H45" s="10">
        <f>IF('Design explorer evaluation'!H$9=0,120,'Carcass density'!A45)</f>
        <v>25</v>
      </c>
    </row>
    <row r="46" spans="1:8" x14ac:dyDescent="0.35">
      <c r="A46">
        <v>26</v>
      </c>
      <c r="B46">
        <f t="shared" si="0"/>
        <v>24</v>
      </c>
      <c r="C46">
        <v>0.58571153296451495</v>
      </c>
      <c r="D46">
        <v>0.21829748727721901</v>
      </c>
      <c r="E46">
        <v>0.29490537251412002</v>
      </c>
      <c r="F46">
        <v>0.12691579801897099</v>
      </c>
      <c r="H46" s="10">
        <f>IF('Design explorer evaluation'!H$9=0,120,'Carcass density'!A46)</f>
        <v>26</v>
      </c>
    </row>
    <row r="47" spans="1:8" x14ac:dyDescent="0.35">
      <c r="A47">
        <v>27</v>
      </c>
      <c r="B47">
        <f t="shared" si="0"/>
        <v>25</v>
      </c>
      <c r="C47">
        <v>0.59879217904367099</v>
      </c>
      <c r="D47">
        <v>0.22328033014337401</v>
      </c>
      <c r="E47">
        <v>0.30244762004140502</v>
      </c>
      <c r="F47">
        <v>0.14239083310523201</v>
      </c>
      <c r="H47" s="10">
        <f>IF('Design explorer evaluation'!H$9=0,120,'Carcass density'!A47)</f>
        <v>27</v>
      </c>
    </row>
    <row r="48" spans="1:8" x14ac:dyDescent="0.35">
      <c r="A48">
        <v>28</v>
      </c>
      <c r="B48">
        <f t="shared" si="0"/>
        <v>26</v>
      </c>
      <c r="C48">
        <v>0.61225438214855699</v>
      </c>
      <c r="D48">
        <v>0.228126422524108</v>
      </c>
      <c r="E48">
        <v>0.30983151615272297</v>
      </c>
      <c r="F48">
        <v>0.158761429057998</v>
      </c>
      <c r="H48" s="10">
        <f>IF('Design explorer evaluation'!H$9=0,120,'Carcass density'!A48)</f>
        <v>28</v>
      </c>
    </row>
    <row r="49" spans="1:8" x14ac:dyDescent="0.35">
      <c r="A49">
        <v>29</v>
      </c>
      <c r="B49">
        <f t="shared" si="0"/>
        <v>27</v>
      </c>
      <c r="C49">
        <v>0.62618105391354895</v>
      </c>
      <c r="D49">
        <v>0.232848003720425</v>
      </c>
      <c r="E49">
        <v>0.31706995336016602</v>
      </c>
      <c r="F49">
        <v>0.17597366185914801</v>
      </c>
      <c r="H49" s="10">
        <f>IF('Design explorer evaluation'!H$9=0,120,'Carcass density'!A49)</f>
        <v>29</v>
      </c>
    </row>
    <row r="50" spans="1:8" x14ac:dyDescent="0.35">
      <c r="A50">
        <v>30</v>
      </c>
      <c r="B50">
        <f t="shared" si="0"/>
        <v>28</v>
      </c>
      <c r="C50">
        <v>0.640655105973025</v>
      </c>
      <c r="D50">
        <v>0.23745731303332501</v>
      </c>
      <c r="E50">
        <v>0.32417582417582402</v>
      </c>
      <c r="F50">
        <v>0.19396421602539701</v>
      </c>
      <c r="H50" s="10">
        <f>IF('Design explorer evaluation'!H$9=0,120,'Carcass density'!A50)</f>
        <v>30</v>
      </c>
    </row>
    <row r="51" spans="1:8" x14ac:dyDescent="0.35">
      <c r="A51">
        <v>31</v>
      </c>
      <c r="B51">
        <f t="shared" si="0"/>
        <v>29</v>
      </c>
      <c r="C51">
        <v>0.65571568859121099</v>
      </c>
      <c r="D51">
        <v>0.241966589763809</v>
      </c>
      <c r="E51">
        <v>0.33116348736392298</v>
      </c>
      <c r="F51">
        <v>0.21266148518272601</v>
      </c>
      <c r="H51" s="10">
        <f>IF('Design explorer evaluation'!H$9=0,120,'Carcass density'!A51)</f>
        <v>31</v>
      </c>
    </row>
    <row r="52" spans="1:8" x14ac:dyDescent="0.35">
      <c r="A52">
        <v>32</v>
      </c>
      <c r="B52">
        <f t="shared" si="0"/>
        <v>30</v>
      </c>
      <c r="C52">
        <v>0.671226906551733</v>
      </c>
      <c r="D52">
        <v>0.24638807321288</v>
      </c>
      <c r="E52">
        <v>0.33805316669722502</v>
      </c>
      <c r="F52">
        <v>0.23198686345059599</v>
      </c>
    </row>
    <row r="53" spans="1:8" x14ac:dyDescent="0.35">
      <c r="A53">
        <v>33</v>
      </c>
      <c r="B53">
        <f t="shared" si="0"/>
        <v>31</v>
      </c>
      <c r="C53">
        <v>0.68700910326806897</v>
      </c>
      <c r="D53">
        <v>0.250734002681538</v>
      </c>
      <c r="E53">
        <v>0.34486655220062501</v>
      </c>
      <c r="F53">
        <v>0.25185618131923398</v>
      </c>
    </row>
    <row r="54" spans="1:8" x14ac:dyDescent="0.35">
      <c r="A54">
        <v>34</v>
      </c>
      <c r="B54">
        <f t="shared" si="0"/>
        <v>32</v>
      </c>
      <c r="C54">
        <v>0.70288262215369501</v>
      </c>
      <c r="D54">
        <v>0.25501661747078502</v>
      </c>
      <c r="E54">
        <v>0.35162533389902201</v>
      </c>
      <c r="F54">
        <v>0.27218123435043701</v>
      </c>
    </row>
    <row r="55" spans="1:8" x14ac:dyDescent="0.35">
      <c r="A55">
        <v>35</v>
      </c>
      <c r="B55">
        <f t="shared" si="0"/>
        <v>33</v>
      </c>
      <c r="C55">
        <v>0.71866780662208896</v>
      </c>
      <c r="D55">
        <v>0.259248156881623</v>
      </c>
      <c r="E55">
        <v>0.35835120181730901</v>
      </c>
      <c r="F55">
        <v>0.29287135077378601</v>
      </c>
    </row>
    <row r="56" spans="1:8" x14ac:dyDescent="0.35">
      <c r="A56">
        <v>36</v>
      </c>
      <c r="B56">
        <f t="shared" si="0"/>
        <v>34</v>
      </c>
      <c r="C56">
        <v>0.73418500008672805</v>
      </c>
      <c r="D56">
        <v>0.26344086021505397</v>
      </c>
      <c r="E56">
        <v>0.365065845980385</v>
      </c>
      <c r="F56">
        <v>0.313834944911831</v>
      </c>
    </row>
    <row r="57" spans="1:8" x14ac:dyDescent="0.35">
      <c r="A57">
        <v>37</v>
      </c>
      <c r="B57">
        <f t="shared" si="0"/>
        <v>35</v>
      </c>
      <c r="C57">
        <v>0.74925454596108698</v>
      </c>
      <c r="D57">
        <v>0.26760752250106801</v>
      </c>
      <c r="E57">
        <v>0.37179095641314602</v>
      </c>
      <c r="F57">
        <v>0.33498100711044299</v>
      </c>
    </row>
    <row r="58" spans="1:8" x14ac:dyDescent="0.35">
      <c r="A58">
        <v>38</v>
      </c>
      <c r="B58">
        <f t="shared" si="0"/>
        <v>35</v>
      </c>
      <c r="C58">
        <v>0.76369678765864601</v>
      </c>
      <c r="D58">
        <v>0.27176316168561698</v>
      </c>
      <c r="E58">
        <v>0.37854822314048697</v>
      </c>
      <c r="F58">
        <v>0.356220487011427</v>
      </c>
    </row>
    <row r="59" spans="1:8" x14ac:dyDescent="0.35">
      <c r="A59">
        <v>39</v>
      </c>
      <c r="B59">
        <f t="shared" si="0"/>
        <v>36</v>
      </c>
      <c r="C59">
        <v>0.77733206859287896</v>
      </c>
      <c r="D59">
        <v>0.27592335144364299</v>
      </c>
      <c r="E59">
        <v>0.385359336187305</v>
      </c>
      <c r="F59">
        <v>0.37746753496206698</v>
      </c>
    </row>
    <row r="60" spans="1:8" x14ac:dyDescent="0.35">
      <c r="A60">
        <v>40</v>
      </c>
      <c r="B60">
        <f t="shared" si="0"/>
        <v>37</v>
      </c>
      <c r="C60">
        <v>0.78998073217726394</v>
      </c>
      <c r="D60">
        <v>0.28010366545008603</v>
      </c>
      <c r="E60">
        <v>0.39224598557849699</v>
      </c>
      <c r="F60">
        <v>0.39864057540718401</v>
      </c>
    </row>
    <row r="61" spans="1:8" x14ac:dyDescent="0.35">
      <c r="A61">
        <v>41</v>
      </c>
      <c r="B61">
        <f t="shared" si="0"/>
        <v>38</v>
      </c>
      <c r="C61">
        <v>0.80151231183933902</v>
      </c>
      <c r="D61">
        <v>0.28431967737989</v>
      </c>
      <c r="E61">
        <v>0.39922986133895799</v>
      </c>
      <c r="F61">
        <v>0.419663195543995</v>
      </c>
    </row>
    <row r="62" spans="1:8" x14ac:dyDescent="0.35">
      <c r="A62">
        <v>42</v>
      </c>
      <c r="B62">
        <f t="shared" si="0"/>
        <v>39</v>
      </c>
      <c r="C62">
        <v>0.81199310106288602</v>
      </c>
      <c r="D62">
        <v>0.28858696090799402</v>
      </c>
      <c r="E62">
        <v>0.40633265349358599</v>
      </c>
      <c r="F62">
        <v>0.44046484169078998</v>
      </c>
    </row>
    <row r="63" spans="1:8" x14ac:dyDescent="0.35">
      <c r="A63">
        <v>43</v>
      </c>
      <c r="B63">
        <f t="shared" si="0"/>
        <v>40</v>
      </c>
      <c r="C63">
        <v>0.82153858334574803</v>
      </c>
      <c r="D63">
        <v>0.29292108970934</v>
      </c>
      <c r="E63">
        <v>0.41357605206727599</v>
      </c>
      <c r="F63">
        <v>0.460981324190957</v>
      </c>
    </row>
    <row r="64" spans="1:8" x14ac:dyDescent="0.35">
      <c r="A64">
        <v>44</v>
      </c>
      <c r="B64">
        <f t="shared" si="0"/>
        <v>41</v>
      </c>
      <c r="C64">
        <v>0.830264242185768</v>
      </c>
      <c r="D64">
        <v>0.29733763745886999</v>
      </c>
      <c r="E64">
        <v>0.42098174708492497</v>
      </c>
      <c r="F64">
        <v>0.48115513884993699</v>
      </c>
    </row>
    <row r="65" spans="1:6" x14ac:dyDescent="0.35">
      <c r="A65">
        <v>45</v>
      </c>
      <c r="B65">
        <f t="shared" si="0"/>
        <v>42</v>
      </c>
      <c r="C65">
        <v>0.838285561080788</v>
      </c>
      <c r="D65">
        <v>0.30185217783152601</v>
      </c>
      <c r="E65">
        <v>0.42857142857142899</v>
      </c>
      <c r="F65">
        <v>0.50093561864230796</v>
      </c>
    </row>
    <row r="66" spans="1:6" x14ac:dyDescent="0.35">
      <c r="A66">
        <v>46</v>
      </c>
      <c r="B66">
        <f t="shared" si="0"/>
        <v>43</v>
      </c>
      <c r="C66">
        <v>0.845718023528651</v>
      </c>
      <c r="D66">
        <v>0.30648028450224801</v>
      </c>
      <c r="E66">
        <v>0.43635795879031802</v>
      </c>
      <c r="F66">
        <v>0.52027893363238897</v>
      </c>
    </row>
    <row r="67" spans="1:6" x14ac:dyDescent="0.35">
      <c r="A67">
        <v>47</v>
      </c>
      <c r="B67">
        <f t="shared" si="0"/>
        <v>44</v>
      </c>
      <c r="C67">
        <v>0.85267711302720095</v>
      </c>
      <c r="D67">
        <v>0.31123753114597802</v>
      </c>
      <c r="E67">
        <v>0.44431888895965799</v>
      </c>
      <c r="F67">
        <v>0.53914795975238206</v>
      </c>
    </row>
    <row r="68" spans="1:6" x14ac:dyDescent="0.35">
      <c r="A68">
        <v>48</v>
      </c>
      <c r="B68">
        <f t="shared" si="0"/>
        <v>45</v>
      </c>
      <c r="C68">
        <v>0.85927831307427904</v>
      </c>
      <c r="D68">
        <v>0.31613949143765802</v>
      </c>
      <c r="E68">
        <v>0.45242294253615001</v>
      </c>
      <c r="F68">
        <v>0.55751203840230801</v>
      </c>
    </row>
    <row r="69" spans="1:6" x14ac:dyDescent="0.35">
      <c r="A69">
        <v>49</v>
      </c>
      <c r="B69">
        <f t="shared" si="0"/>
        <v>46</v>
      </c>
      <c r="C69">
        <v>0.86563710716773001</v>
      </c>
      <c r="D69">
        <v>0.32120173905222899</v>
      </c>
      <c r="E69">
        <v>0.46063884297649299</v>
      </c>
      <c r="F69">
        <v>0.57534664896701404</v>
      </c>
    </row>
    <row r="70" spans="1:6" x14ac:dyDescent="0.35">
      <c r="A70">
        <v>50</v>
      </c>
      <c r="B70">
        <f t="shared" si="0"/>
        <v>47</v>
      </c>
      <c r="C70">
        <v>0.87186897880539505</v>
      </c>
      <c r="D70">
        <v>0.32643984766463202</v>
      </c>
      <c r="E70">
        <v>0.46893531373738601</v>
      </c>
      <c r="F70">
        <v>0.59263301551562997</v>
      </c>
    </row>
    <row r="71" spans="1:6" x14ac:dyDescent="0.35">
      <c r="A71">
        <v>51</v>
      </c>
      <c r="B71">
        <f t="shared" si="0"/>
        <v>48</v>
      </c>
      <c r="C71">
        <v>0.87806647060249199</v>
      </c>
      <c r="D71">
        <v>0.331869390949809</v>
      </c>
      <c r="E71">
        <v>0.47728107827552901</v>
      </c>
      <c r="F71">
        <v>0.60935766739669806</v>
      </c>
    </row>
    <row r="72" spans="1:6" x14ac:dyDescent="0.35">
      <c r="A72">
        <v>52</v>
      </c>
      <c r="B72">
        <f t="shared" si="0"/>
        <v>49</v>
      </c>
      <c r="C72">
        <v>0.88423036164373403</v>
      </c>
      <c r="D72">
        <v>0.337505942582701</v>
      </c>
      <c r="E72">
        <v>0.48564486004762197</v>
      </c>
      <c r="F72">
        <v>0.62551197139770998</v>
      </c>
    </row>
    <row r="73" spans="1:6" x14ac:dyDescent="0.35">
      <c r="A73">
        <v>53</v>
      </c>
      <c r="B73">
        <f t="shared" si="0"/>
        <v>49</v>
      </c>
      <c r="C73">
        <v>0.89033849013121102</v>
      </c>
      <c r="D73">
        <v>0.34336507623825002</v>
      </c>
      <c r="E73">
        <v>0.49399538251036601</v>
      </c>
      <c r="F73">
        <v>0.64109165080694297</v>
      </c>
    </row>
    <row r="74" spans="1:6" x14ac:dyDescent="0.35">
      <c r="A74">
        <v>54</v>
      </c>
      <c r="B74">
        <f t="shared" si="0"/>
        <v>50</v>
      </c>
      <c r="C74">
        <v>0.89636869426700905</v>
      </c>
      <c r="D74">
        <v>0.34946236559139798</v>
      </c>
      <c r="E74">
        <v>0.50230136912045897</v>
      </c>
      <c r="F74">
        <v>0.65609630427246901</v>
      </c>
    </row>
    <row r="75" spans="1:6" x14ac:dyDescent="0.35">
      <c r="A75">
        <v>55</v>
      </c>
      <c r="B75">
        <f t="shared" si="0"/>
        <v>51</v>
      </c>
      <c r="C75">
        <v>0.90229881225321695</v>
      </c>
      <c r="D75">
        <v>0.35580666319842702</v>
      </c>
      <c r="E75">
        <v>0.51053154333460204</v>
      </c>
      <c r="F75">
        <v>0.67052893493645105</v>
      </c>
    </row>
    <row r="76" spans="1:6" x14ac:dyDescent="0.35">
      <c r="A76">
        <v>56</v>
      </c>
      <c r="B76">
        <f t="shared" si="0"/>
        <v>52</v>
      </c>
      <c r="C76">
        <v>0.90810668229192304</v>
      </c>
      <c r="D76">
        <v>0.36237993714098699</v>
      </c>
      <c r="E76">
        <v>0.51865462860949396</v>
      </c>
      <c r="F76">
        <v>0.68439549803548605</v>
      </c>
    </row>
    <row r="77" spans="1:6" x14ac:dyDescent="0.35">
      <c r="A77">
        <v>57</v>
      </c>
      <c r="B77">
        <f t="shared" si="0"/>
        <v>53</v>
      </c>
      <c r="C77">
        <v>0.91377014258521505</v>
      </c>
      <c r="D77">
        <v>0.36915743438207199</v>
      </c>
      <c r="E77">
        <v>0.52663934840183502</v>
      </c>
      <c r="F77">
        <v>0.69770447306998995</v>
      </c>
    </row>
    <row r="78" spans="1:6" x14ac:dyDescent="0.35">
      <c r="A78">
        <v>58</v>
      </c>
      <c r="B78">
        <f t="shared" si="0"/>
        <v>54</v>
      </c>
      <c r="C78">
        <v>0.91926703133518095</v>
      </c>
      <c r="D78">
        <v>0.37611440188467299</v>
      </c>
      <c r="E78">
        <v>0.53445442616832395</v>
      </c>
      <c r="F78">
        <v>0.71046646479979103</v>
      </c>
    </row>
    <row r="79" spans="1:6" x14ac:dyDescent="0.35">
      <c r="A79">
        <v>59</v>
      </c>
      <c r="B79">
        <f t="shared" si="0"/>
        <v>55</v>
      </c>
      <c r="C79">
        <v>0.92457518674390904</v>
      </c>
      <c r="D79">
        <v>0.38322608661178198</v>
      </c>
      <c r="E79">
        <v>0.54206858536566305</v>
      </c>
      <c r="F79">
        <v>0.72269383573817203</v>
      </c>
    </row>
    <row r="80" spans="1:6" x14ac:dyDescent="0.35">
      <c r="A80">
        <v>60</v>
      </c>
      <c r="B80">
        <f t="shared" si="0"/>
        <v>56</v>
      </c>
      <c r="C80">
        <v>0.92967244701348695</v>
      </c>
      <c r="D80">
        <v>0.39046773552639202</v>
      </c>
      <c r="E80">
        <v>0.54945054945054905</v>
      </c>
      <c r="F80">
        <v>0.73440037149398896</v>
      </c>
    </row>
    <row r="81" spans="1:6" x14ac:dyDescent="0.35">
      <c r="A81">
        <v>61</v>
      </c>
      <c r="B81">
        <f t="shared" si="0"/>
        <v>57</v>
      </c>
      <c r="C81">
        <v>0.934540688216974</v>
      </c>
      <c r="D81">
        <v>0.39781459559149501</v>
      </c>
      <c r="E81">
        <v>0.55657846664859401</v>
      </c>
      <c r="F81">
        <v>0.74560097923950297</v>
      </c>
    </row>
    <row r="82" spans="1:6" x14ac:dyDescent="0.35">
      <c r="A82">
        <v>62</v>
      </c>
      <c r="B82">
        <f t="shared" si="0"/>
        <v>58</v>
      </c>
      <c r="C82">
        <v>0.93917793791130799</v>
      </c>
      <c r="D82">
        <v>0.40524191377008201</v>
      </c>
      <c r="E82">
        <v>0.56346818426104806</v>
      </c>
      <c r="F82">
        <v>0.75631141874008201</v>
      </c>
    </row>
    <row r="83" spans="1:6" x14ac:dyDescent="0.35">
      <c r="A83">
        <v>63</v>
      </c>
      <c r="B83">
        <f t="shared" si="0"/>
        <v>59</v>
      </c>
      <c r="C83">
        <v>0.94358626152439895</v>
      </c>
      <c r="D83">
        <v>0.41272493702514701</v>
      </c>
      <c r="E83">
        <v>0.57014497435807099</v>
      </c>
      <c r="F83">
        <v>0.76654806474561199</v>
      </c>
    </row>
    <row r="84" spans="1:6" x14ac:dyDescent="0.35">
      <c r="A84">
        <v>64</v>
      </c>
      <c r="B84">
        <f t="shared" si="0"/>
        <v>60</v>
      </c>
      <c r="C84">
        <v>0.94776772448415403</v>
      </c>
      <c r="D84">
        <v>0.42023891231968102</v>
      </c>
      <c r="E84">
        <v>0.57663410900982304</v>
      </c>
      <c r="F84">
        <v>0.77632769908479404</v>
      </c>
    </row>
    <row r="85" spans="1:6" x14ac:dyDescent="0.35">
      <c r="A85">
        <v>65</v>
      </c>
      <c r="B85">
        <f t="shared" si="0"/>
        <v>61</v>
      </c>
      <c r="C85">
        <v>0.95172439221848304</v>
      </c>
      <c r="D85">
        <v>0.427759086616677</v>
      </c>
      <c r="E85">
        <v>0.58296086028646599</v>
      </c>
      <c r="F85">
        <v>0.78566733049465398</v>
      </c>
    </row>
    <row r="86" spans="1:6" x14ac:dyDescent="0.35">
      <c r="A86">
        <v>66</v>
      </c>
      <c r="B86">
        <f t="shared" ref="B86:B149" si="1">ROUND(A86*(A$3+B$3)/150,0)</f>
        <v>62</v>
      </c>
      <c r="C86">
        <v>0.95545833015529502</v>
      </c>
      <c r="D86">
        <v>0.43526070687912599</v>
      </c>
      <c r="E86">
        <v>0.58915050025815796</v>
      </c>
      <c r="F86">
        <v>0.794584040032002</v>
      </c>
    </row>
    <row r="87" spans="1:6" x14ac:dyDescent="0.35">
      <c r="A87">
        <v>67</v>
      </c>
      <c r="B87">
        <f t="shared" si="1"/>
        <v>63</v>
      </c>
      <c r="C87">
        <v>0.95897160372249901</v>
      </c>
      <c r="D87">
        <v>0.44271902007002201</v>
      </c>
      <c r="E87">
        <v>0.59522830099506197</v>
      </c>
      <c r="F87">
        <v>0.80309484982689505</v>
      </c>
    </row>
    <row r="88" spans="1:6" x14ac:dyDescent="0.35">
      <c r="A88">
        <v>68</v>
      </c>
      <c r="B88">
        <f t="shared" si="1"/>
        <v>63</v>
      </c>
      <c r="C88">
        <v>0.96226627834800305</v>
      </c>
      <c r="D88">
        <v>0.45010927315235499</v>
      </c>
      <c r="E88">
        <v>0.60121953456733701</v>
      </c>
      <c r="F88">
        <v>0.81121661292855196</v>
      </c>
    </row>
    <row r="89" spans="1:6" x14ac:dyDescent="0.35">
      <c r="A89">
        <v>69</v>
      </c>
      <c r="B89">
        <f t="shared" si="1"/>
        <v>64</v>
      </c>
      <c r="C89">
        <v>0.96534441945971705</v>
      </c>
      <c r="D89">
        <v>0.45740671308911901</v>
      </c>
      <c r="E89">
        <v>0.60714947304514399</v>
      </c>
      <c r="F89">
        <v>0.81896592204292795</v>
      </c>
    </row>
    <row r="90" spans="1:6" x14ac:dyDescent="0.35">
      <c r="A90">
        <v>70</v>
      </c>
      <c r="B90">
        <f t="shared" si="1"/>
        <v>65</v>
      </c>
      <c r="C90">
        <v>0.96820809248554895</v>
      </c>
      <c r="D90">
        <v>0.464586586843305</v>
      </c>
      <c r="E90">
        <v>0.61304338849864404</v>
      </c>
      <c r="F90">
        <v>0.82635903505228403</v>
      </c>
    </row>
    <row r="91" spans="1:6" x14ac:dyDescent="0.35">
      <c r="A91">
        <v>71</v>
      </c>
      <c r="B91">
        <f t="shared" si="1"/>
        <v>66</v>
      </c>
      <c r="C91">
        <v>0.97086133529647001</v>
      </c>
      <c r="D91">
        <v>0.47162414137790598</v>
      </c>
      <c r="E91">
        <v>0.61892655299799604</v>
      </c>
      <c r="F91">
        <v>0.83341181532741404</v>
      </c>
    </row>
    <row r="92" spans="1:6" x14ac:dyDescent="0.35">
      <c r="A92">
        <v>72</v>
      </c>
      <c r="B92">
        <f t="shared" si="1"/>
        <v>67</v>
      </c>
      <c r="C92">
        <v>0.97331607553569499</v>
      </c>
      <c r="D92">
        <v>0.478494623655914</v>
      </c>
      <c r="E92">
        <v>0.624824238613362</v>
      </c>
      <c r="F92">
        <v>0.840139684982118</v>
      </c>
    </row>
    <row r="93" spans="1:6" x14ac:dyDescent="0.35">
      <c r="A93">
        <v>73</v>
      </c>
      <c r="B93">
        <f t="shared" si="1"/>
        <v>68</v>
      </c>
      <c r="C93">
        <v>0.97558621328949902</v>
      </c>
      <c r="D93">
        <v>0.48517932825257998</v>
      </c>
      <c r="E93">
        <v>0.63076171741490095</v>
      </c>
      <c r="F93">
        <v>0.84655758936847303</v>
      </c>
    </row>
    <row r="94" spans="1:6" x14ac:dyDescent="0.35">
      <c r="A94">
        <v>74</v>
      </c>
      <c r="B94">
        <f t="shared" si="1"/>
        <v>69</v>
      </c>
      <c r="C94">
        <v>0.97768564864415997</v>
      </c>
      <c r="D94">
        <v>0.49168374019219402</v>
      </c>
      <c r="E94">
        <v>0.63676426147277498</v>
      </c>
      <c r="F94">
        <v>0.85267997126407302</v>
      </c>
    </row>
    <row r="95" spans="1:6" x14ac:dyDescent="0.35">
      <c r="A95">
        <v>75</v>
      </c>
      <c r="B95">
        <f t="shared" si="1"/>
        <v>70</v>
      </c>
      <c r="C95">
        <v>0.97962828168595295</v>
      </c>
      <c r="D95">
        <v>0.49801939211130303</v>
      </c>
      <c r="E95">
        <v>0.64285714285714302</v>
      </c>
      <c r="F95">
        <v>0.85852075335361999</v>
      </c>
    </row>
    <row r="96" spans="1:6" x14ac:dyDescent="0.35">
      <c r="A96">
        <v>76</v>
      </c>
      <c r="B96">
        <f t="shared" si="1"/>
        <v>71</v>
      </c>
      <c r="C96">
        <v>0.98142801250115497</v>
      </c>
      <c r="D96">
        <v>0.50419781664645702</v>
      </c>
      <c r="E96">
        <v>0.64905955434668405</v>
      </c>
      <c r="F96">
        <v>0.86409332775368597</v>
      </c>
    </row>
    <row r="97" spans="1:6" x14ac:dyDescent="0.35">
      <c r="A97">
        <v>77</v>
      </c>
      <c r="B97">
        <f t="shared" si="1"/>
        <v>72</v>
      </c>
      <c r="C97">
        <v>0.98309874117604301</v>
      </c>
      <c r="D97">
        <v>0.51023054643420296</v>
      </c>
      <c r="E97">
        <v>0.65536637155414601</v>
      </c>
      <c r="F97">
        <v>0.86941055146842205</v>
      </c>
    </row>
    <row r="98" spans="1:6" x14ac:dyDescent="0.35">
      <c r="A98">
        <v>78</v>
      </c>
      <c r="B98">
        <f t="shared" si="1"/>
        <v>73</v>
      </c>
      <c r="C98">
        <v>0.98465436779689197</v>
      </c>
      <c r="D98">
        <v>0.51612911411108997</v>
      </c>
      <c r="E98">
        <v>0.66176639080079702</v>
      </c>
      <c r="F98">
        <v>0.87448474679411603</v>
      </c>
    </row>
    <row r="99" spans="1:6" x14ac:dyDescent="0.35">
      <c r="A99">
        <v>79</v>
      </c>
      <c r="B99">
        <f t="shared" si="1"/>
        <v>74</v>
      </c>
      <c r="C99">
        <v>0.98610879244997895</v>
      </c>
      <c r="D99">
        <v>0.52190505231366602</v>
      </c>
      <c r="E99">
        <v>0.66824840840790201</v>
      </c>
      <c r="F99">
        <v>0.87932770581063702</v>
      </c>
    </row>
    <row r="100" spans="1:6" x14ac:dyDescent="0.35">
      <c r="A100">
        <v>80</v>
      </c>
      <c r="B100">
        <f t="shared" si="1"/>
        <v>75</v>
      </c>
      <c r="C100">
        <v>0.98747591522157996</v>
      </c>
      <c r="D100">
        <v>0.52756989367847995</v>
      </c>
      <c r="E100">
        <v>0.67480122069672799</v>
      </c>
      <c r="F100">
        <v>0.88395069820773298</v>
      </c>
    </row>
    <row r="101" spans="1:6" x14ac:dyDescent="0.35">
      <c r="A101">
        <v>81</v>
      </c>
      <c r="B101">
        <f t="shared" si="1"/>
        <v>76</v>
      </c>
      <c r="C101">
        <v>0.98876734246612397</v>
      </c>
      <c r="D101">
        <v>0.53313517084207995</v>
      </c>
      <c r="E101">
        <v>0.681413623988541</v>
      </c>
      <c r="F101">
        <v>0.88836448179375904</v>
      </c>
    </row>
    <row r="102" spans="1:6" x14ac:dyDescent="0.35">
      <c r="A102">
        <v>82</v>
      </c>
      <c r="B102">
        <f t="shared" si="1"/>
        <v>77</v>
      </c>
      <c r="C102">
        <v>0.98998550561065302</v>
      </c>
      <c r="D102">
        <v>0.53861241644101399</v>
      </c>
      <c r="E102">
        <v>0.68807441460460705</v>
      </c>
      <c r="F102">
        <v>0.89257931512392497</v>
      </c>
    </row>
    <row r="103" spans="1:6" x14ac:dyDescent="0.35">
      <c r="A103">
        <v>83</v>
      </c>
      <c r="B103">
        <f t="shared" si="1"/>
        <v>77</v>
      </c>
      <c r="C103">
        <v>0.99113054235036102</v>
      </c>
      <c r="D103">
        <v>0.54401316311183001</v>
      </c>
      <c r="E103">
        <v>0.69477238886619397</v>
      </c>
      <c r="F103">
        <v>0.89660497176521103</v>
      </c>
    </row>
    <row r="104" spans="1:6" x14ac:dyDescent="0.35">
      <c r="A104">
        <v>84</v>
      </c>
      <c r="B104">
        <f t="shared" si="1"/>
        <v>78</v>
      </c>
      <c r="C104">
        <v>0.99220259038044001</v>
      </c>
      <c r="D104">
        <v>0.54934894349107799</v>
      </c>
      <c r="E104">
        <v>0.70149634309456699</v>
      </c>
      <c r="F104">
        <v>0.90045075578599598</v>
      </c>
    </row>
    <row r="105" spans="1:6" x14ac:dyDescent="0.35">
      <c r="A105">
        <v>85</v>
      </c>
      <c r="B105">
        <f t="shared" si="1"/>
        <v>79</v>
      </c>
      <c r="C105">
        <v>0.993201787396086</v>
      </c>
      <c r="D105">
        <v>0.554631290215305</v>
      </c>
      <c r="E105">
        <v>0.70823507361099303</v>
      </c>
      <c r="F105">
        <v>0.90412551812116504</v>
      </c>
    </row>
    <row r="106" spans="1:6" x14ac:dyDescent="0.35">
      <c r="A106">
        <v>86</v>
      </c>
      <c r="B106">
        <f t="shared" si="1"/>
        <v>80</v>
      </c>
      <c r="C106">
        <v>0.99412827109249202</v>
      </c>
      <c r="D106">
        <v>0.55987173592105899</v>
      </c>
      <c r="E106">
        <v>0.714977376736739</v>
      </c>
      <c r="F106">
        <v>0.90763767351838698</v>
      </c>
    </row>
    <row r="107" spans="1:6" x14ac:dyDescent="0.35">
      <c r="A107">
        <v>87</v>
      </c>
      <c r="B107">
        <f t="shared" si="1"/>
        <v>81</v>
      </c>
      <c r="C107">
        <v>0.99498217916485199</v>
      </c>
      <c r="D107">
        <v>0.56508181324489004</v>
      </c>
      <c r="E107">
        <v>0.72171204879307005</v>
      </c>
      <c r="F107">
        <v>0.91099521781936399</v>
      </c>
    </row>
    <row r="108" spans="1:6" x14ac:dyDescent="0.35">
      <c r="A108">
        <v>88</v>
      </c>
      <c r="B108">
        <f t="shared" si="1"/>
        <v>82</v>
      </c>
      <c r="C108">
        <v>0.99576364930836003</v>
      </c>
      <c r="D108">
        <v>0.570273054823345</v>
      </c>
      <c r="E108">
        <v>0.72842788610125297</v>
      </c>
      <c r="F108">
        <v>0.91420574537159005</v>
      </c>
    </row>
    <row r="109" spans="1:6" x14ac:dyDescent="0.35">
      <c r="A109">
        <v>89</v>
      </c>
      <c r="B109">
        <f t="shared" si="1"/>
        <v>83</v>
      </c>
      <c r="C109">
        <v>0.99647281921820996</v>
      </c>
      <c r="D109">
        <v>0.57545699329297295</v>
      </c>
      <c r="E109">
        <v>0.73511368498255503</v>
      </c>
      <c r="F109">
        <v>0.91727646640236404</v>
      </c>
    </row>
    <row r="110" spans="1:6" x14ac:dyDescent="0.35">
      <c r="A110">
        <v>90</v>
      </c>
      <c r="B110">
        <f t="shared" si="1"/>
        <v>84</v>
      </c>
      <c r="C110">
        <v>0.99710982658959502</v>
      </c>
      <c r="D110">
        <v>0.58064516129032295</v>
      </c>
      <c r="E110">
        <v>0.74175824175824201</v>
      </c>
      <c r="F110">
        <v>0.92021422421797905</v>
      </c>
    </row>
    <row r="111" spans="1:6" x14ac:dyDescent="0.35">
      <c r="A111">
        <v>91</v>
      </c>
      <c r="B111">
        <f t="shared" si="1"/>
        <v>85</v>
      </c>
      <c r="C111">
        <v>0.99767526786408001</v>
      </c>
      <c r="D111">
        <v>0.58584729390644896</v>
      </c>
      <c r="E111">
        <v>0.74835059313194696</v>
      </c>
      <c r="F111">
        <v>0.92302551211777295</v>
      </c>
    </row>
    <row r="112" spans="1:6" x14ac:dyDescent="0.35">
      <c r="A112">
        <v>92</v>
      </c>
      <c r="B112">
        <f t="shared" si="1"/>
        <v>86</v>
      </c>
      <c r="C112">
        <v>0.99817157446870497</v>
      </c>
      <c r="D112">
        <v>0.591065936050442</v>
      </c>
      <c r="E112">
        <v>0.75488073733677397</v>
      </c>
      <c r="F112">
        <v>0.92571648993561995</v>
      </c>
    </row>
    <row r="113" spans="1:6" x14ac:dyDescent="0.35">
      <c r="A113">
        <v>93</v>
      </c>
      <c r="B113">
        <f t="shared" si="1"/>
        <v>87</v>
      </c>
      <c r="C113">
        <v>0.99860163657688095</v>
      </c>
      <c r="D113">
        <v>0.59630183508589696</v>
      </c>
      <c r="E113">
        <v>0.76133891298819201</v>
      </c>
      <c r="F113">
        <v>0.92829300014089</v>
      </c>
    </row>
    <row r="114" spans="1:6" x14ac:dyDescent="0.35">
      <c r="A114">
        <v>94</v>
      </c>
      <c r="B114">
        <f t="shared" si="1"/>
        <v>88</v>
      </c>
      <c r="C114">
        <v>0.99896834436201698</v>
      </c>
      <c r="D114">
        <v>0.60155573837640997</v>
      </c>
      <c r="E114">
        <v>0.76771535870166996</v>
      </c>
      <c r="F114">
        <v>0.93076058344738699</v>
      </c>
    </row>
    <row r="115" spans="1:6" x14ac:dyDescent="0.35">
      <c r="A115">
        <v>95</v>
      </c>
      <c r="B115">
        <f t="shared" si="1"/>
        <v>89</v>
      </c>
      <c r="C115">
        <v>0.999274587997525</v>
      </c>
      <c r="D115">
        <v>0.60682839328557803</v>
      </c>
      <c r="E115">
        <v>0.77400031309268003</v>
      </c>
      <c r="F115">
        <v>0.93312449389268104</v>
      </c>
    </row>
    <row r="116" spans="1:6" x14ac:dyDescent="0.35">
      <c r="A116">
        <v>96</v>
      </c>
      <c r="B116">
        <f t="shared" si="1"/>
        <v>90</v>
      </c>
      <c r="C116">
        <v>0.99952325765681505</v>
      </c>
      <c r="D116">
        <v>0.61212054717699804</v>
      </c>
      <c r="E116">
        <v>0.78018401477668997</v>
      </c>
      <c r="F116">
        <v>0.93538971336185905</v>
      </c>
    </row>
    <row r="117" spans="1:6" x14ac:dyDescent="0.35">
      <c r="A117">
        <v>97</v>
      </c>
      <c r="B117">
        <f t="shared" si="1"/>
        <v>91</v>
      </c>
      <c r="C117">
        <v>0.99971724351329705</v>
      </c>
      <c r="D117">
        <v>0.61743294741426502</v>
      </c>
      <c r="E117">
        <v>0.78625670236917</v>
      </c>
      <c r="F117">
        <v>0.93756096553943202</v>
      </c>
    </row>
    <row r="118" spans="1:6" x14ac:dyDescent="0.35">
      <c r="A118">
        <v>98</v>
      </c>
      <c r="B118">
        <f t="shared" si="1"/>
        <v>91</v>
      </c>
      <c r="C118">
        <v>0.99985943574038205</v>
      </c>
      <c r="D118">
        <v>0.62276634136097697</v>
      </c>
      <c r="E118">
        <v>0.79220861448559099</v>
      </c>
      <c r="F118">
        <v>0.939642729281149</v>
      </c>
    </row>
    <row r="119" spans="1:6" x14ac:dyDescent="0.35">
      <c r="A119">
        <v>99</v>
      </c>
      <c r="B119">
        <f t="shared" si="1"/>
        <v>92</v>
      </c>
      <c r="C119">
        <v>0.99995272451147899</v>
      </c>
      <c r="D119">
        <v>0.62812147638072802</v>
      </c>
      <c r="E119">
        <v>0.79802998974142103</v>
      </c>
      <c r="F119">
        <v>0.94163925140405103</v>
      </c>
    </row>
    <row r="120" spans="1:6" x14ac:dyDescent="0.35">
      <c r="A120">
        <v>100</v>
      </c>
      <c r="B120">
        <f t="shared" si="1"/>
        <v>93</v>
      </c>
      <c r="C120">
        <v>1</v>
      </c>
      <c r="D120">
        <v>0.63349909983711705</v>
      </c>
      <c r="E120">
        <v>0.803711066752132</v>
      </c>
      <c r="F120">
        <v>0.94355455889844397</v>
      </c>
    </row>
    <row r="121" spans="1:6" x14ac:dyDescent="0.35">
      <c r="A121">
        <v>101</v>
      </c>
      <c r="B121">
        <f t="shared" si="1"/>
        <v>94</v>
      </c>
      <c r="C121">
        <v>1</v>
      </c>
      <c r="D121">
        <v>0.63889995909373798</v>
      </c>
      <c r="E121">
        <v>0.80924208413319298</v>
      </c>
      <c r="F121">
        <v>0.94539247056979003</v>
      </c>
    </row>
    <row r="122" spans="1:6" x14ac:dyDescent="0.35">
      <c r="A122">
        <v>102</v>
      </c>
      <c r="B122">
        <f t="shared" si="1"/>
        <v>95</v>
      </c>
      <c r="C122">
        <v>1</v>
      </c>
      <c r="D122">
        <v>0.64432480151418903</v>
      </c>
      <c r="E122">
        <v>0.81461328050007298</v>
      </c>
      <c r="F122">
        <v>0.94715660812191504</v>
      </c>
    </row>
    <row r="123" spans="1:6" x14ac:dyDescent="0.35">
      <c r="A123">
        <v>103</v>
      </c>
      <c r="B123">
        <f t="shared" si="1"/>
        <v>96</v>
      </c>
      <c r="C123">
        <v>1</v>
      </c>
      <c r="D123">
        <v>0.64977437446206598</v>
      </c>
      <c r="E123">
        <v>0.81981489446824296</v>
      </c>
      <c r="F123">
        <v>0.94885040669561405</v>
      </c>
    </row>
    <row r="124" spans="1:6" x14ac:dyDescent="0.35">
      <c r="A124">
        <v>104</v>
      </c>
      <c r="B124">
        <f t="shared" si="1"/>
        <v>97</v>
      </c>
      <c r="C124">
        <v>1</v>
      </c>
      <c r="D124">
        <v>0.65524942530096497</v>
      </c>
      <c r="E124">
        <v>0.82483716465317203</v>
      </c>
      <c r="F124">
        <v>0.95047712487874503</v>
      </c>
    </row>
    <row r="125" spans="1:6" x14ac:dyDescent="0.35">
      <c r="A125">
        <v>105</v>
      </c>
      <c r="B125">
        <f t="shared" si="1"/>
        <v>98</v>
      </c>
      <c r="C125">
        <v>1</v>
      </c>
      <c r="D125">
        <v>0.660750701394483</v>
      </c>
      <c r="E125">
        <v>0.82967032967033005</v>
      </c>
      <c r="F125">
        <v>0.95203985420540804</v>
      </c>
    </row>
    <row r="126" spans="1:6" x14ac:dyDescent="0.35">
      <c r="A126">
        <v>106</v>
      </c>
      <c r="B126">
        <f t="shared" si="1"/>
        <v>99</v>
      </c>
      <c r="C126">
        <v>1</v>
      </c>
      <c r="D126">
        <v>0.66627895010621496</v>
      </c>
      <c r="E126">
        <v>0.83430974589719997</v>
      </c>
      <c r="F126">
        <v>0.95354152816287097</v>
      </c>
    </row>
    <row r="127" spans="1:6" x14ac:dyDescent="0.35">
      <c r="A127">
        <v>107</v>
      </c>
      <c r="B127">
        <f t="shared" si="1"/>
        <v>100</v>
      </c>
      <c r="C127">
        <v>1</v>
      </c>
      <c r="D127">
        <v>0.67183491879975799</v>
      </c>
      <c r="E127">
        <v>0.83877124075931997</v>
      </c>
      <c r="F127">
        <v>0.95498493072555801</v>
      </c>
    </row>
    <row r="128" spans="1:6" x14ac:dyDescent="0.35">
      <c r="A128">
        <v>108</v>
      </c>
      <c r="B128">
        <f t="shared" si="1"/>
        <v>101</v>
      </c>
      <c r="C128">
        <v>1</v>
      </c>
      <c r="D128">
        <v>0.67741935483870996</v>
      </c>
      <c r="E128">
        <v>0.84307575944423896</v>
      </c>
      <c r="F128">
        <v>0.95637270443583799</v>
      </c>
    </row>
    <row r="129" spans="1:6" x14ac:dyDescent="0.35">
      <c r="A129">
        <v>109</v>
      </c>
      <c r="B129">
        <f t="shared" si="1"/>
        <v>102</v>
      </c>
      <c r="C129">
        <v>1</v>
      </c>
      <c r="D129">
        <v>0.68303138254727602</v>
      </c>
      <c r="E129">
        <v>0.84724424713950797</v>
      </c>
      <c r="F129">
        <v>0.95770735805142504</v>
      </c>
    </row>
    <row r="130" spans="1:6" x14ac:dyDescent="0.35">
      <c r="A130">
        <v>110</v>
      </c>
      <c r="B130">
        <f t="shared" si="1"/>
        <v>103</v>
      </c>
      <c r="C130">
        <v>1</v>
      </c>
      <c r="D130">
        <v>0.68866363409210696</v>
      </c>
      <c r="E130">
        <v>0.85129764903267602</v>
      </c>
      <c r="F130">
        <v>0.95899127377920002</v>
      </c>
    </row>
    <row r="131" spans="1:6" x14ac:dyDescent="0.35">
      <c r="A131">
        <v>111</v>
      </c>
      <c r="B131">
        <f t="shared" si="1"/>
        <v>104</v>
      </c>
      <c r="C131">
        <v>1</v>
      </c>
      <c r="D131">
        <v>0.69430711860046601</v>
      </c>
      <c r="E131">
        <v>0.85525691031129403</v>
      </c>
      <c r="F131">
        <v>0.96022671411495797</v>
      </c>
    </row>
    <row r="132" spans="1:6" x14ac:dyDescent="0.35">
      <c r="A132">
        <v>112</v>
      </c>
      <c r="B132">
        <f t="shared" si="1"/>
        <v>105</v>
      </c>
      <c r="C132">
        <v>1</v>
      </c>
      <c r="D132">
        <v>0.69995284519961498</v>
      </c>
      <c r="E132">
        <v>0.85914297616291302</v>
      </c>
      <c r="F132">
        <v>0.96141582830828198</v>
      </c>
    </row>
    <row r="133" spans="1:6" x14ac:dyDescent="0.35">
      <c r="A133">
        <v>113</v>
      </c>
      <c r="B133">
        <f t="shared" si="1"/>
        <v>105</v>
      </c>
      <c r="C133">
        <v>1</v>
      </c>
      <c r="D133">
        <v>0.705591823016813</v>
      </c>
      <c r="E133">
        <v>0.86297679177508202</v>
      </c>
      <c r="F133">
        <v>0.96256065847122396</v>
      </c>
    </row>
    <row r="134" spans="1:6" x14ac:dyDescent="0.35">
      <c r="A134">
        <v>114</v>
      </c>
      <c r="B134">
        <f t="shared" si="1"/>
        <v>106</v>
      </c>
      <c r="C134">
        <v>1</v>
      </c>
      <c r="D134">
        <v>0.71121506117932498</v>
      </c>
      <c r="E134">
        <v>0.86677930233535105</v>
      </c>
      <c r="F134">
        <v>0.963663145348992</v>
      </c>
    </row>
    <row r="135" spans="1:6" x14ac:dyDescent="0.35">
      <c r="A135">
        <v>115</v>
      </c>
      <c r="B135">
        <f t="shared" si="1"/>
        <v>107</v>
      </c>
      <c r="C135">
        <v>1</v>
      </c>
      <c r="D135">
        <v>0.71681356881441005</v>
      </c>
      <c r="E135">
        <v>0.87057145303127104</v>
      </c>
      <c r="F135">
        <v>0.96472513377018199</v>
      </c>
    </row>
    <row r="136" spans="1:6" x14ac:dyDescent="0.35">
      <c r="A136">
        <v>116</v>
      </c>
      <c r="B136">
        <f t="shared" si="1"/>
        <v>108</v>
      </c>
      <c r="C136">
        <v>1</v>
      </c>
      <c r="D136">
        <v>0.72237835504933201</v>
      </c>
      <c r="E136">
        <v>0.87437418905039299</v>
      </c>
      <c r="F136">
        <v>0.96574837779350298</v>
      </c>
    </row>
    <row r="137" spans="1:6" x14ac:dyDescent="0.35">
      <c r="A137">
        <v>117</v>
      </c>
      <c r="B137">
        <f t="shared" si="1"/>
        <v>109</v>
      </c>
      <c r="C137">
        <v>1</v>
      </c>
      <c r="D137">
        <v>0.72790042901135099</v>
      </c>
      <c r="E137">
        <v>0.87820845558026495</v>
      </c>
      <c r="F137">
        <v>0.96673454556725502</v>
      </c>
    </row>
    <row r="138" spans="1:6" x14ac:dyDescent="0.35">
      <c r="A138">
        <v>118</v>
      </c>
      <c r="B138">
        <f t="shared" si="1"/>
        <v>110</v>
      </c>
      <c r="C138">
        <v>1</v>
      </c>
      <c r="D138">
        <v>0.73337079982773001</v>
      </c>
      <c r="E138">
        <v>0.88209519780843804</v>
      </c>
      <c r="F138">
        <v>0.96768522391713196</v>
      </c>
    </row>
    <row r="139" spans="1:6" x14ac:dyDescent="0.35">
      <c r="A139">
        <v>119</v>
      </c>
      <c r="B139">
        <f t="shared" si="1"/>
        <v>111</v>
      </c>
      <c r="C139">
        <v>1</v>
      </c>
      <c r="D139">
        <v>0.73878047662572899</v>
      </c>
      <c r="E139">
        <v>0.88605536092246295</v>
      </c>
      <c r="F139">
        <v>0.96860192267725997</v>
      </c>
    </row>
    <row r="140" spans="1:6" x14ac:dyDescent="0.35">
      <c r="A140">
        <v>120</v>
      </c>
      <c r="B140">
        <f t="shared" si="1"/>
        <v>112</v>
      </c>
      <c r="C140">
        <v>1</v>
      </c>
      <c r="D140">
        <v>0.74412046853261105</v>
      </c>
      <c r="E140">
        <v>0.89010989010988995</v>
      </c>
      <c r="F140">
        <v>0.969486078778662</v>
      </c>
    </row>
    <row r="141" spans="1:6" x14ac:dyDescent="0.35">
      <c r="A141">
        <v>121</v>
      </c>
      <c r="B141">
        <f t="shared" si="1"/>
        <v>113</v>
      </c>
      <c r="C141">
        <v>1</v>
      </c>
      <c r="D141">
        <v>0.74938178467563799</v>
      </c>
      <c r="E141">
        <v>0.8942736711425</v>
      </c>
      <c r="F141">
        <v>0.97033906010869597</v>
      </c>
    </row>
    <row r="142" spans="1:6" x14ac:dyDescent="0.35">
      <c r="A142">
        <v>122</v>
      </c>
      <c r="B142">
        <f t="shared" si="1"/>
        <v>114</v>
      </c>
      <c r="C142">
        <v>1</v>
      </c>
      <c r="D142">
        <v>0.75455543418207005</v>
      </c>
      <c r="E142">
        <v>0.89853735212899899</v>
      </c>
      <c r="F142">
        <v>0.97116216915430098</v>
      </c>
    </row>
    <row r="143" spans="1:6" x14ac:dyDescent="0.35">
      <c r="A143">
        <v>123</v>
      </c>
      <c r="B143">
        <f t="shared" si="1"/>
        <v>115</v>
      </c>
      <c r="C143">
        <v>1</v>
      </c>
      <c r="D143">
        <v>0.75963242617917104</v>
      </c>
      <c r="E143">
        <v>0.90288552176232495</v>
      </c>
      <c r="F143">
        <v>0.97195664644130197</v>
      </c>
    </row>
    <row r="144" spans="1:6" x14ac:dyDescent="0.35">
      <c r="A144">
        <v>124</v>
      </c>
      <c r="B144">
        <f t="shared" si="1"/>
        <v>116</v>
      </c>
      <c r="C144">
        <v>1</v>
      </c>
      <c r="D144">
        <v>0.76460376979420097</v>
      </c>
      <c r="E144">
        <v>0.90730276873541604</v>
      </c>
      <c r="F144">
        <v>0.97272367378130697</v>
      </c>
    </row>
    <row r="145" spans="1:6" x14ac:dyDescent="0.35">
      <c r="A145">
        <v>125</v>
      </c>
      <c r="B145">
        <f t="shared" si="1"/>
        <v>117</v>
      </c>
      <c r="C145">
        <v>1</v>
      </c>
      <c r="D145">
        <v>0.76946047415442198</v>
      </c>
      <c r="E145">
        <v>0.91177368174120799</v>
      </c>
      <c r="F145">
        <v>0.97346437733720204</v>
      </c>
    </row>
    <row r="146" spans="1:6" x14ac:dyDescent="0.35">
      <c r="A146">
        <v>126</v>
      </c>
      <c r="B146">
        <f t="shared" si="1"/>
        <v>118</v>
      </c>
      <c r="C146">
        <v>1</v>
      </c>
      <c r="D146">
        <v>0.77419354838709697</v>
      </c>
      <c r="E146">
        <v>0.91628284947263905</v>
      </c>
      <c r="F146">
        <v>0.97417983051759305</v>
      </c>
    </row>
    <row r="147" spans="1:6" x14ac:dyDescent="0.35">
      <c r="A147">
        <v>127</v>
      </c>
      <c r="B147">
        <f t="shared" si="1"/>
        <v>119</v>
      </c>
      <c r="C147">
        <v>1</v>
      </c>
      <c r="D147">
        <v>0.77879768197403798</v>
      </c>
      <c r="E147">
        <v>0.92081486062264595</v>
      </c>
      <c r="F147">
        <v>0.97487105671002705</v>
      </c>
    </row>
    <row r="148" spans="1:6" x14ac:dyDescent="0.35">
      <c r="A148">
        <v>128</v>
      </c>
      <c r="B148">
        <f t="shared" si="1"/>
        <v>119</v>
      </c>
      <c r="C148">
        <v>1</v>
      </c>
      <c r="D148">
        <v>0.78328228581526804</v>
      </c>
      <c r="E148">
        <v>0.92535430388416795</v>
      </c>
      <c r="F148">
        <v>0.975539031862243</v>
      </c>
    </row>
    <row r="149" spans="1:6" x14ac:dyDescent="0.35">
      <c r="A149">
        <v>129</v>
      </c>
      <c r="B149">
        <f t="shared" si="1"/>
        <v>120</v>
      </c>
      <c r="C149">
        <v>1</v>
      </c>
      <c r="D149">
        <v>0.78766045116536398</v>
      </c>
      <c r="E149">
        <v>0.929885767950141</v>
      </c>
      <c r="F149">
        <v>0.97618468692022298</v>
      </c>
    </row>
    <row r="150" spans="1:6" x14ac:dyDescent="0.35">
      <c r="A150">
        <v>130</v>
      </c>
      <c r="B150">
        <f t="shared" ref="B150:B213" si="2">ROUND(A150*(A$3+B$3)/150,0)</f>
        <v>121</v>
      </c>
      <c r="C150">
        <v>1</v>
      </c>
      <c r="D150">
        <v>0.79194526927889797</v>
      </c>
      <c r="E150">
        <v>0.93439384151350302</v>
      </c>
      <c r="F150">
        <v>0.97680891013128202</v>
      </c>
    </row>
    <row r="151" spans="1:6" x14ac:dyDescent="0.35">
      <c r="A151">
        <v>131</v>
      </c>
      <c r="B151">
        <f t="shared" si="2"/>
        <v>122</v>
      </c>
      <c r="C151">
        <v>1</v>
      </c>
      <c r="D151">
        <v>0.79614983141044604</v>
      </c>
      <c r="E151">
        <v>0.93886311326719096</v>
      </c>
      <c r="F151">
        <v>0.97741254922000498</v>
      </c>
    </row>
    <row r="152" spans="1:6" x14ac:dyDescent="0.35">
      <c r="A152">
        <v>132</v>
      </c>
      <c r="B152">
        <f t="shared" si="2"/>
        <v>123</v>
      </c>
      <c r="C152">
        <v>1</v>
      </c>
      <c r="D152">
        <v>0.80028722881458303</v>
      </c>
      <c r="E152">
        <v>0.94327817190414298</v>
      </c>
      <c r="F152">
        <v>0.97799641344434796</v>
      </c>
    </row>
    <row r="153" spans="1:6" x14ac:dyDescent="0.35">
      <c r="A153">
        <v>133</v>
      </c>
      <c r="B153">
        <f t="shared" si="2"/>
        <v>124</v>
      </c>
      <c r="C153">
        <v>1</v>
      </c>
      <c r="D153">
        <v>0.80437055274588398</v>
      </c>
      <c r="E153">
        <v>0.94762360611729601</v>
      </c>
      <c r="F153">
        <v>0.97856127553884298</v>
      </c>
    </row>
    <row r="154" spans="1:6" x14ac:dyDescent="0.35">
      <c r="A154">
        <v>134</v>
      </c>
      <c r="B154">
        <f t="shared" si="2"/>
        <v>125</v>
      </c>
      <c r="C154">
        <v>1</v>
      </c>
      <c r="D154">
        <v>0.80841289445892295</v>
      </c>
      <c r="E154">
        <v>0.951884004599588</v>
      </c>
      <c r="F154">
        <v>0.97910787355141404</v>
      </c>
    </row>
    <row r="155" spans="1:6" x14ac:dyDescent="0.35">
      <c r="A155">
        <v>135</v>
      </c>
      <c r="B155">
        <f t="shared" si="2"/>
        <v>126</v>
      </c>
      <c r="C155">
        <v>1</v>
      </c>
      <c r="D155">
        <v>0.81242734520827597</v>
      </c>
      <c r="E155">
        <v>0.95604395604395598</v>
      </c>
      <c r="F155">
        <v>0.97963691257993002</v>
      </c>
    </row>
    <row r="156" spans="1:6" x14ac:dyDescent="0.35">
      <c r="A156">
        <v>136</v>
      </c>
      <c r="B156">
        <f t="shared" si="2"/>
        <v>127</v>
      </c>
      <c r="C156">
        <v>1</v>
      </c>
      <c r="D156">
        <v>0.816426996248516</v>
      </c>
      <c r="E156">
        <v>0.96008926102649095</v>
      </c>
      <c r="F156">
        <v>0.980149066414296</v>
      </c>
    </row>
    <row r="157" spans="1:6" x14ac:dyDescent="0.35">
      <c r="A157">
        <v>137</v>
      </c>
      <c r="B157">
        <f t="shared" si="2"/>
        <v>128</v>
      </c>
      <c r="C157">
        <v>1</v>
      </c>
      <c r="D157">
        <v>0.82042493883421996</v>
      </c>
      <c r="E157">
        <v>0.96401056765589999</v>
      </c>
      <c r="F157">
        <v>0.98064497908949599</v>
      </c>
    </row>
    <row r="158" spans="1:6" x14ac:dyDescent="0.35">
      <c r="A158">
        <v>138</v>
      </c>
      <c r="B158">
        <f t="shared" si="2"/>
        <v>129</v>
      </c>
      <c r="C158">
        <v>1</v>
      </c>
      <c r="D158">
        <v>0.82443426421996202</v>
      </c>
      <c r="E158">
        <v>0.967799735924042</v>
      </c>
      <c r="F158">
        <v>0.98112526635472197</v>
      </c>
    </row>
    <row r="159" spans="1:6" x14ac:dyDescent="0.35">
      <c r="A159">
        <v>139</v>
      </c>
      <c r="B159">
        <f t="shared" si="2"/>
        <v>130</v>
      </c>
      <c r="C159">
        <v>1</v>
      </c>
      <c r="D159">
        <v>0.828468063660316</v>
      </c>
      <c r="E159">
        <v>0.97144862582277802</v>
      </c>
      <c r="F159">
        <v>0.98159051706339895</v>
      </c>
    </row>
    <row r="160" spans="1:6" x14ac:dyDescent="0.35">
      <c r="A160">
        <v>140</v>
      </c>
      <c r="B160">
        <f t="shared" si="2"/>
        <v>131</v>
      </c>
      <c r="C160">
        <v>1</v>
      </c>
      <c r="D160">
        <v>0.83253942840985795</v>
      </c>
      <c r="E160">
        <v>0.97494909734396695</v>
      </c>
      <c r="F160">
        <v>0.98204129448863497</v>
      </c>
    </row>
    <row r="161" spans="1:6" x14ac:dyDescent="0.35">
      <c r="A161">
        <v>141</v>
      </c>
      <c r="B161">
        <f t="shared" si="2"/>
        <v>132</v>
      </c>
      <c r="C161">
        <v>1</v>
      </c>
      <c r="D161">
        <v>0.83666144972316203</v>
      </c>
      <c r="E161">
        <v>0.97829301047947004</v>
      </c>
      <c r="F161">
        <v>0.98247813756836999</v>
      </c>
    </row>
    <row r="162" spans="1:6" x14ac:dyDescent="0.35">
      <c r="A162">
        <v>142</v>
      </c>
      <c r="B162">
        <f t="shared" si="2"/>
        <v>133</v>
      </c>
      <c r="C162">
        <v>1</v>
      </c>
      <c r="D162">
        <v>0.84084721885480396</v>
      </c>
      <c r="E162">
        <v>0.98147222522114597</v>
      </c>
      <c r="F162">
        <v>0.98290156208421497</v>
      </c>
    </row>
    <row r="163" spans="1:6" x14ac:dyDescent="0.35">
      <c r="A163">
        <v>143</v>
      </c>
      <c r="B163">
        <f t="shared" si="2"/>
        <v>133</v>
      </c>
      <c r="C163">
        <v>1</v>
      </c>
      <c r="D163">
        <v>0.845109827059357</v>
      </c>
      <c r="E163">
        <v>0.98447860156085598</v>
      </c>
      <c r="F163">
        <v>0.98331206177777697</v>
      </c>
    </row>
    <row r="164" spans="1:6" x14ac:dyDescent="0.35">
      <c r="A164">
        <v>144</v>
      </c>
      <c r="B164">
        <f t="shared" si="2"/>
        <v>134</v>
      </c>
      <c r="C164">
        <v>1</v>
      </c>
      <c r="D164">
        <v>0.84946236559139798</v>
      </c>
      <c r="E164">
        <v>0.98730399949045899</v>
      </c>
      <c r="F164">
        <v>0.98371010940800796</v>
      </c>
    </row>
    <row r="165" spans="1:6" x14ac:dyDescent="0.35">
      <c r="A165">
        <v>145</v>
      </c>
      <c r="B165">
        <f t="shared" si="2"/>
        <v>135</v>
      </c>
      <c r="C165">
        <v>1</v>
      </c>
      <c r="D165">
        <v>0.85391404602367305</v>
      </c>
      <c r="E165">
        <v>0.98994027900181603</v>
      </c>
      <c r="F165">
        <v>0.98409615775290904</v>
      </c>
    </row>
    <row r="166" spans="1:6" x14ac:dyDescent="0.35">
      <c r="A166">
        <v>146</v>
      </c>
      <c r="B166">
        <f t="shared" si="2"/>
        <v>136</v>
      </c>
      <c r="C166">
        <v>1</v>
      </c>
      <c r="D166">
        <v>0.85845856120162101</v>
      </c>
      <c r="E166">
        <v>0.99237930008678599</v>
      </c>
      <c r="F166">
        <v>0.984470640558753</v>
      </c>
    </row>
    <row r="167" spans="1:6" x14ac:dyDescent="0.35">
      <c r="A167">
        <v>147</v>
      </c>
      <c r="B167">
        <f t="shared" si="2"/>
        <v>137</v>
      </c>
      <c r="C167">
        <v>1</v>
      </c>
      <c r="D167">
        <v>0.86308572428885599</v>
      </c>
      <c r="E167">
        <v>0.99461292273722901</v>
      </c>
      <c r="F167">
        <v>0.98483397343975898</v>
      </c>
    </row>
    <row r="168" spans="1:6" x14ac:dyDescent="0.35">
      <c r="A168">
        <v>148</v>
      </c>
      <c r="B168">
        <f t="shared" si="2"/>
        <v>138</v>
      </c>
      <c r="C168">
        <v>1</v>
      </c>
      <c r="D168">
        <v>0.86778534844898703</v>
      </c>
      <c r="E168">
        <v>0.99663300694500601</v>
      </c>
      <c r="F168">
        <v>0.98518655473101602</v>
      </c>
    </row>
    <row r="169" spans="1:6" x14ac:dyDescent="0.35">
      <c r="A169">
        <v>149</v>
      </c>
      <c r="B169">
        <f t="shared" si="2"/>
        <v>139</v>
      </c>
      <c r="C169">
        <v>1</v>
      </c>
      <c r="D169">
        <v>0.87254724684562801</v>
      </c>
      <c r="E169">
        <v>0.998431412701976</v>
      </c>
      <c r="F169">
        <v>0.98552876629725805</v>
      </c>
    </row>
    <row r="170" spans="1:6" x14ac:dyDescent="0.35">
      <c r="A170">
        <v>150</v>
      </c>
      <c r="B170">
        <f t="shared" si="2"/>
        <v>140</v>
      </c>
      <c r="C170">
        <v>1</v>
      </c>
      <c r="D170">
        <v>0.87736123264239096</v>
      </c>
      <c r="E170">
        <v>1</v>
      </c>
      <c r="F170">
        <v>0.985860974299969</v>
      </c>
    </row>
    <row r="171" spans="1:6" x14ac:dyDescent="0.35">
      <c r="A171">
        <v>151</v>
      </c>
      <c r="B171">
        <f t="shared" si="2"/>
        <v>141</v>
      </c>
      <c r="C171">
        <v>1</v>
      </c>
      <c r="D171">
        <v>0.88221711900288602</v>
      </c>
      <c r="E171">
        <v>1</v>
      </c>
      <c r="F171">
        <v>0.98618352992512204</v>
      </c>
    </row>
    <row r="172" spans="1:6" x14ac:dyDescent="0.35">
      <c r="A172">
        <v>152</v>
      </c>
      <c r="B172">
        <f t="shared" si="2"/>
        <v>142</v>
      </c>
      <c r="C172">
        <v>1</v>
      </c>
      <c r="D172">
        <v>0.88710471909072697</v>
      </c>
      <c r="E172">
        <v>1</v>
      </c>
      <c r="F172">
        <v>0.98649677007373904</v>
      </c>
    </row>
    <row r="173" spans="1:6" x14ac:dyDescent="0.35">
      <c r="A173">
        <v>153</v>
      </c>
      <c r="B173">
        <f t="shared" si="2"/>
        <v>143</v>
      </c>
      <c r="C173">
        <v>1</v>
      </c>
      <c r="D173">
        <v>0.89201384606952505</v>
      </c>
      <c r="E173">
        <v>1</v>
      </c>
      <c r="F173">
        <v>0.986801018017325</v>
      </c>
    </row>
    <row r="174" spans="1:6" x14ac:dyDescent="0.35">
      <c r="A174">
        <v>154</v>
      </c>
      <c r="B174">
        <f t="shared" si="2"/>
        <v>144</v>
      </c>
      <c r="C174">
        <v>1</v>
      </c>
      <c r="D174">
        <v>0.89693431310289196</v>
      </c>
      <c r="E174">
        <v>1</v>
      </c>
      <c r="F174">
        <v>0.98709658402010902</v>
      </c>
    </row>
    <row r="175" spans="1:6" x14ac:dyDescent="0.35">
      <c r="A175">
        <v>155</v>
      </c>
      <c r="B175">
        <f t="shared" si="2"/>
        <v>145</v>
      </c>
      <c r="C175">
        <v>1</v>
      </c>
      <c r="D175">
        <v>0.90185593335444003</v>
      </c>
      <c r="E175">
        <v>1</v>
      </c>
      <c r="F175">
        <v>0.98738376592991095</v>
      </c>
    </row>
    <row r="176" spans="1:6" x14ac:dyDescent="0.35">
      <c r="A176">
        <v>156</v>
      </c>
      <c r="B176">
        <f t="shared" si="2"/>
        <v>146</v>
      </c>
      <c r="C176">
        <v>1</v>
      </c>
      <c r="D176">
        <v>0.90676851998777996</v>
      </c>
      <c r="E176">
        <v>1</v>
      </c>
      <c r="F176">
        <v>0.98766284973935003</v>
      </c>
    </row>
    <row r="177" spans="1:6" x14ac:dyDescent="0.35">
      <c r="A177">
        <v>157</v>
      </c>
      <c r="B177">
        <f t="shared" si="2"/>
        <v>147</v>
      </c>
      <c r="C177">
        <v>1</v>
      </c>
      <c r="D177">
        <v>0.91166188616652599</v>
      </c>
      <c r="E177">
        <v>1</v>
      </c>
      <c r="F177">
        <v>0.987934110119006</v>
      </c>
    </row>
    <row r="178" spans="1:6" x14ac:dyDescent="0.35">
      <c r="A178">
        <v>158</v>
      </c>
      <c r="B178">
        <f t="shared" si="2"/>
        <v>147</v>
      </c>
      <c r="C178">
        <v>1</v>
      </c>
      <c r="D178">
        <v>0.91652584505428802</v>
      </c>
      <c r="E178">
        <v>1</v>
      </c>
      <c r="F178">
        <v>0.988197810924066</v>
      </c>
    </row>
    <row r="179" spans="1:6" x14ac:dyDescent="0.35">
      <c r="A179">
        <v>159</v>
      </c>
      <c r="B179">
        <f t="shared" si="2"/>
        <v>148</v>
      </c>
      <c r="C179">
        <v>1</v>
      </c>
      <c r="D179">
        <v>0.92135020981467897</v>
      </c>
      <c r="E179">
        <v>1</v>
      </c>
      <c r="F179">
        <v>0.98845420567586595</v>
      </c>
    </row>
    <row r="180" spans="1:6" x14ac:dyDescent="0.35">
      <c r="A180">
        <v>160</v>
      </c>
      <c r="B180">
        <f t="shared" si="2"/>
        <v>149</v>
      </c>
      <c r="C180">
        <v>1</v>
      </c>
      <c r="D180">
        <v>0.92612479361130995</v>
      </c>
      <c r="E180">
        <v>1</v>
      </c>
      <c r="F180">
        <v>0.98870353801970501</v>
      </c>
    </row>
    <row r="181" spans="1:6" x14ac:dyDescent="0.35">
      <c r="A181">
        <v>161</v>
      </c>
      <c r="B181">
        <f t="shared" si="2"/>
        <v>150</v>
      </c>
      <c r="C181">
        <v>1</v>
      </c>
      <c r="D181">
        <v>0.93083940960779399</v>
      </c>
      <c r="E181">
        <v>1</v>
      </c>
      <c r="F181">
        <v>0.988946042160185</v>
      </c>
    </row>
    <row r="182" spans="1:6" x14ac:dyDescent="0.35">
      <c r="A182">
        <v>162</v>
      </c>
      <c r="B182">
        <f t="shared" si="2"/>
        <v>151</v>
      </c>
      <c r="C182">
        <v>1</v>
      </c>
      <c r="D182">
        <v>0.93548387096774199</v>
      </c>
      <c r="E182">
        <v>1</v>
      </c>
      <c r="F182">
        <v>0.98918194327528697</v>
      </c>
    </row>
    <row r="183" spans="1:6" x14ac:dyDescent="0.35">
      <c r="A183">
        <v>163</v>
      </c>
      <c r="B183">
        <f t="shared" si="2"/>
        <v>152</v>
      </c>
      <c r="C183">
        <v>1</v>
      </c>
      <c r="D183">
        <v>0.94004876679113203</v>
      </c>
      <c r="E183">
        <v>1</v>
      </c>
      <c r="F183">
        <v>0.98941145791030605</v>
      </c>
    </row>
    <row r="184" spans="1:6" x14ac:dyDescent="0.35">
      <c r="A184">
        <v>164</v>
      </c>
      <c r="B184">
        <f t="shared" si="2"/>
        <v>153</v>
      </c>
      <c r="C184">
        <v>1</v>
      </c>
      <c r="D184">
        <v>0.94452778992340303</v>
      </c>
      <c r="E184">
        <v>1</v>
      </c>
      <c r="F184">
        <v>0.98963479435271895</v>
      </c>
    </row>
    <row r="185" spans="1:6" x14ac:dyDescent="0.35">
      <c r="A185">
        <v>165</v>
      </c>
      <c r="B185">
        <f t="shared" si="2"/>
        <v>154</v>
      </c>
      <c r="C185">
        <v>1</v>
      </c>
      <c r="D185">
        <v>0.94891540914635897</v>
      </c>
      <c r="E185">
        <v>1</v>
      </c>
      <c r="F185">
        <v>0.98985215298899099</v>
      </c>
    </row>
    <row r="186" spans="1:6" x14ac:dyDescent="0.35">
      <c r="A186">
        <v>166</v>
      </c>
      <c r="B186">
        <f t="shared" si="2"/>
        <v>155</v>
      </c>
      <c r="C186">
        <v>1</v>
      </c>
      <c r="D186">
        <v>0.95320609324180405</v>
      </c>
      <c r="E186">
        <v>1</v>
      </c>
      <c r="F186">
        <v>0.99006372664426301</v>
      </c>
    </row>
    <row r="187" spans="1:6" x14ac:dyDescent="0.35">
      <c r="A187">
        <v>167</v>
      </c>
      <c r="B187">
        <f t="shared" si="2"/>
        <v>156</v>
      </c>
      <c r="C187">
        <v>1</v>
      </c>
      <c r="D187">
        <v>0.95739431099154404</v>
      </c>
      <c r="E187">
        <v>1</v>
      </c>
      <c r="F187">
        <v>0.990269700905824</v>
      </c>
    </row>
    <row r="188" spans="1:6" x14ac:dyDescent="0.35">
      <c r="A188">
        <v>168</v>
      </c>
      <c r="B188">
        <f t="shared" si="2"/>
        <v>157</v>
      </c>
      <c r="C188">
        <v>1</v>
      </c>
      <c r="D188">
        <v>0.96147453117738402</v>
      </c>
      <c r="E188">
        <v>1</v>
      </c>
      <c r="F188">
        <v>0.99047025443121095</v>
      </c>
    </row>
    <row r="189" spans="1:6" x14ac:dyDescent="0.35">
      <c r="A189">
        <v>169</v>
      </c>
      <c r="B189">
        <f t="shared" si="2"/>
        <v>158</v>
      </c>
      <c r="C189">
        <v>1</v>
      </c>
      <c r="D189">
        <v>0.96544122258112597</v>
      </c>
      <c r="E189">
        <v>1</v>
      </c>
      <c r="F189">
        <v>0.99066555924172595</v>
      </c>
    </row>
    <row r="190" spans="1:6" x14ac:dyDescent="0.35">
      <c r="A190">
        <v>170</v>
      </c>
      <c r="B190">
        <f t="shared" si="2"/>
        <v>159</v>
      </c>
      <c r="C190">
        <v>1</v>
      </c>
      <c r="D190">
        <v>0.96928885398457598</v>
      </c>
      <c r="E190">
        <v>1</v>
      </c>
      <c r="F190">
        <v>0.990855781002147</v>
      </c>
    </row>
    <row r="191" spans="1:6" x14ac:dyDescent="0.35">
      <c r="A191">
        <v>171</v>
      </c>
      <c r="B191">
        <f t="shared" si="2"/>
        <v>160</v>
      </c>
      <c r="C191">
        <v>1</v>
      </c>
      <c r="D191">
        <v>0.97301189416953904</v>
      </c>
      <c r="E191">
        <v>1</v>
      </c>
      <c r="F191">
        <v>0.991041079287308</v>
      </c>
    </row>
    <row r="192" spans="1:6" x14ac:dyDescent="0.35">
      <c r="A192">
        <v>172</v>
      </c>
      <c r="B192">
        <f t="shared" si="2"/>
        <v>161</v>
      </c>
      <c r="C192">
        <v>1</v>
      </c>
      <c r="D192">
        <v>0.97660481191781801</v>
      </c>
      <c r="E192">
        <v>1</v>
      </c>
      <c r="F192">
        <v>0.99122160783625901</v>
      </c>
    </row>
    <row r="193" spans="1:6" x14ac:dyDescent="0.35">
      <c r="A193">
        <v>173</v>
      </c>
      <c r="B193">
        <f t="shared" si="2"/>
        <v>161</v>
      </c>
      <c r="C193">
        <v>1</v>
      </c>
      <c r="D193">
        <v>0.98006207601121897</v>
      </c>
      <c r="E193">
        <v>1</v>
      </c>
      <c r="F193">
        <v>0.99139751479461402</v>
      </c>
    </row>
    <row r="194" spans="1:6" x14ac:dyDescent="0.35">
      <c r="A194">
        <v>174</v>
      </c>
      <c r="B194">
        <f t="shared" si="2"/>
        <v>162</v>
      </c>
      <c r="C194">
        <v>1</v>
      </c>
      <c r="D194">
        <v>0.98337815523154504</v>
      </c>
      <c r="E194">
        <v>1</v>
      </c>
      <c r="F194">
        <v>0.99156894294569498</v>
      </c>
    </row>
    <row r="195" spans="1:6" x14ac:dyDescent="0.35">
      <c r="A195">
        <v>175</v>
      </c>
      <c r="B195">
        <f t="shared" si="2"/>
        <v>163</v>
      </c>
      <c r="C195">
        <v>1</v>
      </c>
      <c r="D195">
        <v>0.98654751836060195</v>
      </c>
      <c r="E195">
        <v>1</v>
      </c>
      <c r="F195">
        <v>0.99173602993104304</v>
      </c>
    </row>
    <row r="196" spans="1:6" x14ac:dyDescent="0.35">
      <c r="A196">
        <v>176</v>
      </c>
      <c r="B196">
        <f t="shared" si="2"/>
        <v>164</v>
      </c>
      <c r="C196">
        <v>1</v>
      </c>
      <c r="D196">
        <v>0.98956463418019402</v>
      </c>
      <c r="E196">
        <v>1</v>
      </c>
      <c r="F196">
        <v>0.99189890846082995</v>
      </c>
    </row>
    <row r="197" spans="1:6" x14ac:dyDescent="0.35">
      <c r="A197">
        <v>177</v>
      </c>
      <c r="B197">
        <f t="shared" si="2"/>
        <v>165</v>
      </c>
      <c r="C197">
        <v>1</v>
      </c>
      <c r="D197">
        <v>0.99242397147212502</v>
      </c>
      <c r="E197">
        <v>1</v>
      </c>
      <c r="F197">
        <v>0.99205770651467096</v>
      </c>
    </row>
    <row r="198" spans="1:6" x14ac:dyDescent="0.35">
      <c r="A198">
        <v>178</v>
      </c>
      <c r="B198">
        <f t="shared" si="2"/>
        <v>166</v>
      </c>
      <c r="C198">
        <v>1</v>
      </c>
      <c r="D198">
        <v>0.99511999901820003</v>
      </c>
      <c r="E198">
        <v>1</v>
      </c>
      <c r="F198">
        <v>0.99221254753333299</v>
      </c>
    </row>
    <row r="199" spans="1:6" x14ac:dyDescent="0.35">
      <c r="A199">
        <v>179</v>
      </c>
      <c r="B199">
        <f t="shared" si="2"/>
        <v>167</v>
      </c>
      <c r="C199">
        <v>1</v>
      </c>
      <c r="D199">
        <v>0.99764718560022403</v>
      </c>
      <c r="E199">
        <v>1</v>
      </c>
      <c r="F199">
        <v>0.99236355060177395</v>
      </c>
    </row>
    <row r="200" spans="1:6" x14ac:dyDescent="0.35">
      <c r="A200">
        <v>180</v>
      </c>
      <c r="B200">
        <f t="shared" si="2"/>
        <v>168</v>
      </c>
      <c r="C200">
        <v>1</v>
      </c>
      <c r="D200">
        <v>1</v>
      </c>
      <c r="E200">
        <v>1</v>
      </c>
      <c r="F200">
        <v>0.99251083062395895</v>
      </c>
    </row>
    <row r="201" spans="1:6" x14ac:dyDescent="0.35">
      <c r="A201">
        <v>181</v>
      </c>
      <c r="B201">
        <f t="shared" si="2"/>
        <v>169</v>
      </c>
      <c r="C201">
        <v>1</v>
      </c>
      <c r="D201">
        <v>1</v>
      </c>
      <c r="E201">
        <v>1</v>
      </c>
      <c r="F201">
        <v>0.992654498489842</v>
      </c>
    </row>
    <row r="202" spans="1:6" x14ac:dyDescent="0.35">
      <c r="A202">
        <v>182</v>
      </c>
      <c r="B202">
        <f t="shared" si="2"/>
        <v>170</v>
      </c>
      <c r="C202">
        <v>1</v>
      </c>
      <c r="D202">
        <v>1</v>
      </c>
      <c r="E202">
        <v>1</v>
      </c>
      <c r="F202">
        <v>0.992794661234917</v>
      </c>
    </row>
    <row r="203" spans="1:6" x14ac:dyDescent="0.35">
      <c r="A203">
        <v>183</v>
      </c>
      <c r="B203">
        <f t="shared" si="2"/>
        <v>171</v>
      </c>
      <c r="C203">
        <v>1</v>
      </c>
      <c r="D203">
        <v>1</v>
      </c>
      <c r="E203">
        <v>1</v>
      </c>
      <c r="F203">
        <v>0.99293142219268804</v>
      </c>
    </row>
    <row r="204" spans="1:6" x14ac:dyDescent="0.35">
      <c r="A204">
        <v>184</v>
      </c>
      <c r="B204">
        <f t="shared" si="2"/>
        <v>172</v>
      </c>
      <c r="C204">
        <v>1</v>
      </c>
      <c r="D204">
        <v>1</v>
      </c>
      <c r="E204">
        <v>1</v>
      </c>
      <c r="F204">
        <v>0.99306488114040803</v>
      </c>
    </row>
    <row r="205" spans="1:6" x14ac:dyDescent="0.35">
      <c r="A205">
        <v>185</v>
      </c>
      <c r="B205">
        <f t="shared" si="2"/>
        <v>173</v>
      </c>
      <c r="C205">
        <v>1</v>
      </c>
      <c r="D205">
        <v>1</v>
      </c>
      <c r="E205">
        <v>1</v>
      </c>
      <c r="F205">
        <v>0.99319513443841301</v>
      </c>
    </row>
    <row r="206" spans="1:6" x14ac:dyDescent="0.35">
      <c r="A206">
        <v>186</v>
      </c>
      <c r="B206">
        <f t="shared" si="2"/>
        <v>174</v>
      </c>
      <c r="C206">
        <v>1</v>
      </c>
      <c r="D206">
        <v>1</v>
      </c>
      <c r="E206">
        <v>1</v>
      </c>
      <c r="F206">
        <v>0.99332227516335703</v>
      </c>
    </row>
    <row r="207" spans="1:6" x14ac:dyDescent="0.35">
      <c r="A207">
        <v>187</v>
      </c>
      <c r="B207">
        <f t="shared" si="2"/>
        <v>175</v>
      </c>
      <c r="C207">
        <v>1</v>
      </c>
      <c r="D207">
        <v>1</v>
      </c>
      <c r="E207">
        <v>1</v>
      </c>
      <c r="F207">
        <v>0.99344639323565398</v>
      </c>
    </row>
    <row r="208" spans="1:6" x14ac:dyDescent="0.35">
      <c r="A208">
        <v>188</v>
      </c>
      <c r="B208">
        <f t="shared" si="2"/>
        <v>175</v>
      </c>
      <c r="C208">
        <v>1</v>
      </c>
      <c r="D208">
        <v>1</v>
      </c>
      <c r="E208">
        <v>1</v>
      </c>
      <c r="F208">
        <v>0.99356757554138198</v>
      </c>
    </row>
    <row r="209" spans="1:6" x14ac:dyDescent="0.35">
      <c r="A209">
        <v>189</v>
      </c>
      <c r="B209">
        <f t="shared" si="2"/>
        <v>176</v>
      </c>
      <c r="C209">
        <v>1</v>
      </c>
      <c r="D209">
        <v>1</v>
      </c>
      <c r="E209">
        <v>1</v>
      </c>
      <c r="F209">
        <v>0.99368590604893603</v>
      </c>
    </row>
    <row r="210" spans="1:6" x14ac:dyDescent="0.35">
      <c r="A210">
        <v>190</v>
      </c>
      <c r="B210">
        <f t="shared" si="2"/>
        <v>177</v>
      </c>
      <c r="C210">
        <v>1</v>
      </c>
      <c r="D210">
        <v>1</v>
      </c>
      <c r="E210">
        <v>1</v>
      </c>
      <c r="F210">
        <v>0.99380146592066798</v>
      </c>
    </row>
    <row r="211" spans="1:6" x14ac:dyDescent="0.35">
      <c r="A211">
        <v>191</v>
      </c>
      <c r="B211">
        <f t="shared" si="2"/>
        <v>178</v>
      </c>
      <c r="C211">
        <v>1</v>
      </c>
      <c r="D211">
        <v>1</v>
      </c>
      <c r="E211">
        <v>1</v>
      </c>
      <c r="F211">
        <v>0.99391433361974202</v>
      </c>
    </row>
    <row r="212" spans="1:6" x14ac:dyDescent="0.35">
      <c r="A212">
        <v>192</v>
      </c>
      <c r="B212">
        <f t="shared" si="2"/>
        <v>179</v>
      </c>
      <c r="C212">
        <v>1</v>
      </c>
      <c r="D212">
        <v>1</v>
      </c>
      <c r="E212">
        <v>1</v>
      </c>
      <c r="F212">
        <v>0.99402458501245905</v>
      </c>
    </row>
    <row r="213" spans="1:6" x14ac:dyDescent="0.35">
      <c r="A213">
        <v>193</v>
      </c>
      <c r="B213">
        <f t="shared" si="2"/>
        <v>180</v>
      </c>
      <c r="C213">
        <v>1</v>
      </c>
      <c r="D213">
        <v>1</v>
      </c>
      <c r="E213">
        <v>1</v>
      </c>
      <c r="F213">
        <v>0.994132293466223</v>
      </c>
    </row>
    <row r="214" spans="1:6" x14ac:dyDescent="0.35">
      <c r="A214">
        <v>194</v>
      </c>
      <c r="B214">
        <f t="shared" ref="B214:B270" si="3">ROUND(A214*(A$3+B$3)/150,0)</f>
        <v>181</v>
      </c>
      <c r="C214">
        <v>1</v>
      </c>
      <c r="D214">
        <v>1</v>
      </c>
      <c r="E214">
        <v>1</v>
      </c>
      <c r="F214">
        <v>0.99423752994338999</v>
      </c>
    </row>
    <row r="215" spans="1:6" x14ac:dyDescent="0.35">
      <c r="A215">
        <v>195</v>
      </c>
      <c r="B215">
        <f t="shared" si="3"/>
        <v>182</v>
      </c>
      <c r="C215">
        <v>1</v>
      </c>
      <c r="D215">
        <v>1</v>
      </c>
      <c r="E215">
        <v>1</v>
      </c>
      <c r="F215">
        <v>0.99434036309116702</v>
      </c>
    </row>
    <row r="216" spans="1:6" x14ac:dyDescent="0.35">
      <c r="A216">
        <v>196</v>
      </c>
      <c r="B216">
        <f t="shared" si="3"/>
        <v>183</v>
      </c>
      <c r="C216">
        <v>1</v>
      </c>
      <c r="D216">
        <v>1</v>
      </c>
      <c r="E216">
        <v>1</v>
      </c>
      <c r="F216">
        <v>0.99444085932775195</v>
      </c>
    </row>
    <row r="217" spans="1:6" x14ac:dyDescent="0.35">
      <c r="A217">
        <v>197</v>
      </c>
      <c r="B217">
        <f t="shared" si="3"/>
        <v>184</v>
      </c>
      <c r="C217">
        <v>1</v>
      </c>
      <c r="D217">
        <v>1</v>
      </c>
      <c r="E217">
        <v>1</v>
      </c>
      <c r="F217">
        <v>0.99453908292488802</v>
      </c>
    </row>
    <row r="218" spans="1:6" x14ac:dyDescent="0.35">
      <c r="A218">
        <v>198</v>
      </c>
      <c r="B218">
        <f t="shared" si="3"/>
        <v>185</v>
      </c>
      <c r="C218">
        <v>1</v>
      </c>
      <c r="D218">
        <v>1</v>
      </c>
      <c r="E218">
        <v>1</v>
      </c>
      <c r="F218">
        <v>0.99463509608699696</v>
      </c>
    </row>
    <row r="219" spans="1:6" x14ac:dyDescent="0.35">
      <c r="A219">
        <v>199</v>
      </c>
      <c r="B219">
        <f t="shared" si="3"/>
        <v>186</v>
      </c>
      <c r="C219">
        <v>1</v>
      </c>
      <c r="D219">
        <v>1</v>
      </c>
      <c r="E219">
        <v>1</v>
      </c>
      <c r="F219">
        <v>0.99472895902704594</v>
      </c>
    </row>
    <row r="220" spans="1:6" x14ac:dyDescent="0.35">
      <c r="A220">
        <v>200</v>
      </c>
      <c r="B220">
        <f t="shared" si="3"/>
        <v>187</v>
      </c>
      <c r="C220">
        <v>1</v>
      </c>
      <c r="D220">
        <v>1</v>
      </c>
      <c r="E220">
        <v>1</v>
      </c>
      <c r="F220">
        <v>0.99482073003929905</v>
      </c>
    </row>
    <row r="221" spans="1:6" x14ac:dyDescent="0.35">
      <c r="A221">
        <v>201</v>
      </c>
      <c r="B221">
        <f t="shared" si="3"/>
        <v>188</v>
      </c>
      <c r="C221">
        <v>1</v>
      </c>
      <c r="D221">
        <v>1</v>
      </c>
      <c r="E221">
        <v>1</v>
      </c>
      <c r="F221">
        <v>0.99491046556908502</v>
      </c>
    </row>
    <row r="222" spans="1:6" x14ac:dyDescent="0.35">
      <c r="A222">
        <v>202</v>
      </c>
      <c r="B222">
        <f t="shared" si="3"/>
        <v>189</v>
      </c>
      <c r="C222">
        <v>1</v>
      </c>
      <c r="D222">
        <v>1</v>
      </c>
      <c r="E222">
        <v>1</v>
      </c>
      <c r="F222">
        <v>0.99499822027974105</v>
      </c>
    </row>
    <row r="223" spans="1:6" x14ac:dyDescent="0.35">
      <c r="A223">
        <v>203</v>
      </c>
      <c r="B223">
        <f t="shared" si="3"/>
        <v>189</v>
      </c>
      <c r="C223">
        <v>1</v>
      </c>
      <c r="D223">
        <v>1</v>
      </c>
      <c r="E223">
        <v>1</v>
      </c>
      <c r="F223">
        <v>0.99508404711682197</v>
      </c>
    </row>
    <row r="224" spans="1:6" x14ac:dyDescent="0.35">
      <c r="A224">
        <v>204</v>
      </c>
      <c r="B224">
        <f t="shared" si="3"/>
        <v>190</v>
      </c>
      <c r="C224">
        <v>1</v>
      </c>
      <c r="D224">
        <v>1</v>
      </c>
      <c r="E224">
        <v>1</v>
      </c>
      <c r="F224">
        <v>0.99516799736972905</v>
      </c>
    </row>
    <row r="225" spans="1:6" x14ac:dyDescent="0.35">
      <c r="A225">
        <v>205</v>
      </c>
      <c r="B225">
        <f t="shared" si="3"/>
        <v>191</v>
      </c>
      <c r="C225">
        <v>1</v>
      </c>
      <c r="D225">
        <v>1</v>
      </c>
      <c r="E225">
        <v>1</v>
      </c>
      <c r="F225">
        <v>0.99525012073086505</v>
      </c>
    </row>
    <row r="226" spans="1:6" x14ac:dyDescent="0.35">
      <c r="A226">
        <v>206</v>
      </c>
      <c r="B226">
        <f t="shared" si="3"/>
        <v>192</v>
      </c>
      <c r="C226">
        <v>1</v>
      </c>
      <c r="D226">
        <v>1</v>
      </c>
      <c r="E226">
        <v>1</v>
      </c>
      <c r="F226">
        <v>0.99533046535240899</v>
      </c>
    </row>
    <row r="227" spans="1:6" x14ac:dyDescent="0.35">
      <c r="A227">
        <v>207</v>
      </c>
      <c r="B227">
        <f t="shared" si="3"/>
        <v>193</v>
      </c>
      <c r="C227">
        <v>1</v>
      </c>
      <c r="D227">
        <v>1</v>
      </c>
      <c r="E227">
        <v>1</v>
      </c>
      <c r="F227">
        <v>0.99540907790083999</v>
      </c>
    </row>
    <row r="228" spans="1:6" x14ac:dyDescent="0.35">
      <c r="A228">
        <v>208</v>
      </c>
      <c r="B228">
        <f t="shared" si="3"/>
        <v>194</v>
      </c>
      <c r="C228">
        <v>1</v>
      </c>
      <c r="D228">
        <v>1</v>
      </c>
      <c r="E228">
        <v>1</v>
      </c>
      <c r="F228">
        <v>0.99548600360929396</v>
      </c>
    </row>
    <row r="229" spans="1:6" x14ac:dyDescent="0.35">
      <c r="A229">
        <v>209</v>
      </c>
      <c r="B229">
        <f t="shared" si="3"/>
        <v>195</v>
      </c>
      <c r="C229">
        <v>1</v>
      </c>
      <c r="D229">
        <v>1</v>
      </c>
      <c r="E229">
        <v>1</v>
      </c>
      <c r="F229">
        <v>0.99556128632785101</v>
      </c>
    </row>
    <row r="230" spans="1:6" x14ac:dyDescent="0.35">
      <c r="A230">
        <v>210</v>
      </c>
      <c r="B230">
        <f t="shared" si="3"/>
        <v>196</v>
      </c>
      <c r="C230">
        <v>1</v>
      </c>
      <c r="D230">
        <v>1</v>
      </c>
      <c r="E230">
        <v>1</v>
      </c>
      <c r="F230">
        <v>0.99563496857184697</v>
      </c>
    </row>
    <row r="231" spans="1:6" x14ac:dyDescent="0.35">
      <c r="A231">
        <v>211</v>
      </c>
      <c r="B231">
        <f t="shared" si="3"/>
        <v>197</v>
      </c>
      <c r="C231">
        <v>1</v>
      </c>
      <c r="D231">
        <v>1</v>
      </c>
      <c r="E231">
        <v>1</v>
      </c>
      <c r="F231">
        <v>0.99570709156829396</v>
      </c>
    </row>
    <row r="232" spans="1:6" x14ac:dyDescent="0.35">
      <c r="A232">
        <v>212</v>
      </c>
      <c r="B232">
        <f t="shared" si="3"/>
        <v>198</v>
      </c>
      <c r="C232">
        <v>1</v>
      </c>
      <c r="D232">
        <v>1</v>
      </c>
      <c r="E232">
        <v>1</v>
      </c>
      <c r="F232">
        <v>0.99577769530048099</v>
      </c>
    </row>
    <row r="233" spans="1:6" x14ac:dyDescent="0.35">
      <c r="A233">
        <v>213</v>
      </c>
      <c r="B233">
        <f t="shared" si="3"/>
        <v>199</v>
      </c>
      <c r="C233">
        <v>1</v>
      </c>
      <c r="D233">
        <v>1</v>
      </c>
      <c r="E233">
        <v>1</v>
      </c>
      <c r="F233">
        <v>0.99584681855086199</v>
      </c>
    </row>
    <row r="234" spans="1:6" x14ac:dyDescent="0.35">
      <c r="A234">
        <v>214</v>
      </c>
      <c r="B234">
        <f t="shared" si="3"/>
        <v>200</v>
      </c>
      <c r="C234">
        <v>1</v>
      </c>
      <c r="D234">
        <v>1</v>
      </c>
      <c r="E234">
        <v>1</v>
      </c>
      <c r="F234">
        <v>0.99591449894226303</v>
      </c>
    </row>
    <row r="235" spans="1:6" x14ac:dyDescent="0.35">
      <c r="A235">
        <v>215</v>
      </c>
      <c r="B235">
        <f t="shared" si="3"/>
        <v>201</v>
      </c>
      <c r="C235">
        <v>1</v>
      </c>
      <c r="D235">
        <v>1</v>
      </c>
      <c r="E235">
        <v>1</v>
      </c>
      <c r="F235">
        <v>0.99598077297751997</v>
      </c>
    </row>
    <row r="236" spans="1:6" x14ac:dyDescent="0.35">
      <c r="A236">
        <v>216</v>
      </c>
      <c r="B236">
        <f t="shared" si="3"/>
        <v>202</v>
      </c>
      <c r="C236">
        <v>1</v>
      </c>
      <c r="D236">
        <v>1</v>
      </c>
      <c r="E236">
        <v>1</v>
      </c>
      <c r="F236">
        <v>0.99604567607758698</v>
      </c>
    </row>
    <row r="237" spans="1:6" x14ac:dyDescent="0.35">
      <c r="A237">
        <v>217</v>
      </c>
      <c r="B237">
        <f t="shared" si="3"/>
        <v>203</v>
      </c>
      <c r="C237">
        <v>1</v>
      </c>
      <c r="D237">
        <v>1</v>
      </c>
      <c r="E237">
        <v>1</v>
      </c>
      <c r="F237">
        <v>0.996109242618195</v>
      </c>
    </row>
    <row r="238" spans="1:6" x14ac:dyDescent="0.35">
      <c r="A238">
        <v>218</v>
      </c>
      <c r="B238">
        <f t="shared" si="3"/>
        <v>203</v>
      </c>
      <c r="C238">
        <v>1</v>
      </c>
      <c r="D238">
        <v>1</v>
      </c>
      <c r="E238">
        <v>1</v>
      </c>
      <c r="F238">
        <v>0.99617150596511195</v>
      </c>
    </row>
    <row r="239" spans="1:6" x14ac:dyDescent="0.35">
      <c r="A239">
        <v>219</v>
      </c>
      <c r="B239">
        <f t="shared" si="3"/>
        <v>204</v>
      </c>
      <c r="C239">
        <v>1</v>
      </c>
      <c r="D239">
        <v>1</v>
      </c>
      <c r="E239">
        <v>1</v>
      </c>
      <c r="F239">
        <v>0.99623249850807505</v>
      </c>
    </row>
    <row r="240" spans="1:6" x14ac:dyDescent="0.35">
      <c r="A240">
        <v>220</v>
      </c>
      <c r="B240">
        <f t="shared" si="3"/>
        <v>205</v>
      </c>
      <c r="C240">
        <v>1</v>
      </c>
      <c r="D240">
        <v>1</v>
      </c>
      <c r="E240">
        <v>1</v>
      </c>
      <c r="F240">
        <v>0.99629225169343305</v>
      </c>
    </row>
    <row r="241" spans="1:6" x14ac:dyDescent="0.35">
      <c r="A241">
        <v>221</v>
      </c>
      <c r="B241">
        <f t="shared" si="3"/>
        <v>206</v>
      </c>
      <c r="C241">
        <v>1</v>
      </c>
      <c r="D241">
        <v>1</v>
      </c>
      <c r="E241">
        <v>1</v>
      </c>
      <c r="F241">
        <v>0.99635079605557597</v>
      </c>
    </row>
    <row r="242" spans="1:6" x14ac:dyDescent="0.35">
      <c r="A242">
        <v>222</v>
      </c>
      <c r="B242">
        <f t="shared" si="3"/>
        <v>207</v>
      </c>
      <c r="C242">
        <v>1</v>
      </c>
      <c r="D242">
        <v>1</v>
      </c>
      <c r="E242">
        <v>1</v>
      </c>
      <c r="F242">
        <v>0.99640816124717602</v>
      </c>
    </row>
    <row r="243" spans="1:6" x14ac:dyDescent="0.35">
      <c r="A243">
        <v>223</v>
      </c>
      <c r="B243">
        <f t="shared" si="3"/>
        <v>208</v>
      </c>
      <c r="C243">
        <v>1</v>
      </c>
      <c r="D243">
        <v>1</v>
      </c>
      <c r="E243">
        <v>1</v>
      </c>
      <c r="F243">
        <v>0.99646437606831395</v>
      </c>
    </row>
    <row r="244" spans="1:6" x14ac:dyDescent="0.35">
      <c r="A244">
        <v>224</v>
      </c>
      <c r="B244">
        <f t="shared" si="3"/>
        <v>209</v>
      </c>
      <c r="C244">
        <v>1</v>
      </c>
      <c r="D244">
        <v>1</v>
      </c>
      <c r="E244">
        <v>1</v>
      </c>
      <c r="F244">
        <v>0.996519468494518</v>
      </c>
    </row>
    <row r="245" spans="1:6" x14ac:dyDescent="0.35">
      <c r="A245">
        <v>225</v>
      </c>
      <c r="B245">
        <f t="shared" si="3"/>
        <v>210</v>
      </c>
      <c r="C245">
        <v>1</v>
      </c>
      <c r="D245">
        <v>1</v>
      </c>
      <c r="E245">
        <v>1</v>
      </c>
      <c r="F245">
        <v>0.99657346570377103</v>
      </c>
    </row>
    <row r="246" spans="1:6" x14ac:dyDescent="0.35">
      <c r="A246">
        <v>226</v>
      </c>
      <c r="B246">
        <f t="shared" si="3"/>
        <v>211</v>
      </c>
      <c r="C246">
        <v>1</v>
      </c>
      <c r="D246">
        <v>1</v>
      </c>
      <c r="E246">
        <v>1</v>
      </c>
      <c r="F246">
        <v>0.99662639410252296</v>
      </c>
    </row>
    <row r="247" spans="1:6" x14ac:dyDescent="0.35">
      <c r="A247">
        <v>227</v>
      </c>
      <c r="B247">
        <f t="shared" si="3"/>
        <v>212</v>
      </c>
      <c r="C247">
        <v>1</v>
      </c>
      <c r="D247">
        <v>1</v>
      </c>
      <c r="E247">
        <v>1</v>
      </c>
      <c r="F247">
        <v>0.99667827935074804</v>
      </c>
    </row>
    <row r="248" spans="1:6" x14ac:dyDescent="0.35">
      <c r="A248">
        <v>228</v>
      </c>
      <c r="B248">
        <f t="shared" si="3"/>
        <v>213</v>
      </c>
      <c r="C248">
        <v>1</v>
      </c>
      <c r="D248">
        <v>1</v>
      </c>
      <c r="E248">
        <v>1</v>
      </c>
      <c r="F248">
        <v>0.996729146386094</v>
      </c>
    </row>
    <row r="249" spans="1:6" x14ac:dyDescent="0.35">
      <c r="A249">
        <v>229</v>
      </c>
      <c r="B249">
        <f t="shared" si="3"/>
        <v>214</v>
      </c>
      <c r="C249">
        <v>1</v>
      </c>
      <c r="D249">
        <v>1</v>
      </c>
      <c r="E249">
        <v>1</v>
      </c>
      <c r="F249">
        <v>0.99677901944714797</v>
      </c>
    </row>
    <row r="250" spans="1:6" x14ac:dyDescent="0.35">
      <c r="A250">
        <v>230</v>
      </c>
      <c r="B250">
        <f t="shared" si="3"/>
        <v>215</v>
      </c>
      <c r="C250">
        <v>1</v>
      </c>
      <c r="D250">
        <v>1</v>
      </c>
      <c r="E250">
        <v>1</v>
      </c>
      <c r="F250">
        <v>0.99682792209586202</v>
      </c>
    </row>
    <row r="251" spans="1:6" x14ac:dyDescent="0.35">
      <c r="A251">
        <v>231</v>
      </c>
      <c r="B251">
        <f t="shared" si="3"/>
        <v>216</v>
      </c>
      <c r="C251">
        <v>1</v>
      </c>
      <c r="D251">
        <v>1</v>
      </c>
      <c r="E251">
        <v>1</v>
      </c>
      <c r="F251">
        <v>0.99687587723917304</v>
      </c>
    </row>
    <row r="252" spans="1:6" x14ac:dyDescent="0.35">
      <c r="A252">
        <v>232</v>
      </c>
      <c r="B252">
        <f t="shared" si="3"/>
        <v>217</v>
      </c>
      <c r="C252">
        <v>1</v>
      </c>
      <c r="D252">
        <v>1</v>
      </c>
      <c r="E252">
        <v>1</v>
      </c>
      <c r="F252">
        <v>0.996922907149843</v>
      </c>
    </row>
    <row r="253" spans="1:6" x14ac:dyDescent="0.35">
      <c r="A253">
        <v>233</v>
      </c>
      <c r="B253">
        <f t="shared" si="3"/>
        <v>217</v>
      </c>
      <c r="C253">
        <v>1</v>
      </c>
      <c r="D253">
        <v>1</v>
      </c>
      <c r="E253">
        <v>1</v>
      </c>
      <c r="F253">
        <v>0.99696903348655597</v>
      </c>
    </row>
    <row r="254" spans="1:6" x14ac:dyDescent="0.35">
      <c r="A254">
        <v>234</v>
      </c>
      <c r="B254">
        <f t="shared" si="3"/>
        <v>218</v>
      </c>
      <c r="C254">
        <v>1</v>
      </c>
      <c r="D254">
        <v>1</v>
      </c>
      <c r="E254">
        <v>1</v>
      </c>
      <c r="F254">
        <v>0.99701427731329895</v>
      </c>
    </row>
    <row r="255" spans="1:6" x14ac:dyDescent="0.35">
      <c r="A255">
        <v>235</v>
      </c>
      <c r="B255">
        <f t="shared" si="3"/>
        <v>219</v>
      </c>
      <c r="C255">
        <v>1</v>
      </c>
      <c r="D255">
        <v>1</v>
      </c>
      <c r="E255">
        <v>1</v>
      </c>
      <c r="F255">
        <v>0.99705865911805502</v>
      </c>
    </row>
    <row r="256" spans="1:6" x14ac:dyDescent="0.35">
      <c r="A256">
        <v>236</v>
      </c>
      <c r="B256">
        <f t="shared" si="3"/>
        <v>220</v>
      </c>
      <c r="C256">
        <v>1</v>
      </c>
      <c r="D256">
        <v>1</v>
      </c>
      <c r="E256">
        <v>1</v>
      </c>
      <c r="F256">
        <v>0.99710219883083795</v>
      </c>
    </row>
    <row r="257" spans="1:6" x14ac:dyDescent="0.35">
      <c r="A257">
        <v>237</v>
      </c>
      <c r="B257">
        <f t="shared" si="3"/>
        <v>221</v>
      </c>
      <c r="C257">
        <v>1</v>
      </c>
      <c r="D257">
        <v>1</v>
      </c>
      <c r="E257">
        <v>1</v>
      </c>
      <c r="F257">
        <v>0.997144915841088</v>
      </c>
    </row>
    <row r="258" spans="1:6" x14ac:dyDescent="0.35">
      <c r="A258">
        <v>238</v>
      </c>
      <c r="B258">
        <f t="shared" si="3"/>
        <v>222</v>
      </c>
      <c r="C258">
        <v>1</v>
      </c>
      <c r="D258">
        <v>1</v>
      </c>
      <c r="E258">
        <v>1</v>
      </c>
      <c r="F258">
        <v>0.99718682901446398</v>
      </c>
    </row>
    <row r="259" spans="1:6" x14ac:dyDescent="0.35">
      <c r="A259">
        <v>239</v>
      </c>
      <c r="B259">
        <f t="shared" si="3"/>
        <v>223</v>
      </c>
      <c r="C259">
        <v>1</v>
      </c>
      <c r="D259">
        <v>1</v>
      </c>
      <c r="E259">
        <v>1</v>
      </c>
      <c r="F259">
        <v>0.99722795670904096</v>
      </c>
    </row>
    <row r="260" spans="1:6" x14ac:dyDescent="0.35">
      <c r="A260">
        <v>240</v>
      </c>
      <c r="B260">
        <f t="shared" si="3"/>
        <v>224</v>
      </c>
      <c r="C260">
        <v>1</v>
      </c>
      <c r="D260">
        <v>1</v>
      </c>
      <c r="E260">
        <v>1</v>
      </c>
      <c r="F260">
        <v>0.99726831679095496</v>
      </c>
    </row>
    <row r="261" spans="1:6" x14ac:dyDescent="0.35">
      <c r="A261">
        <v>241</v>
      </c>
      <c r="B261">
        <f t="shared" si="3"/>
        <v>225</v>
      </c>
      <c r="C261">
        <v>1</v>
      </c>
      <c r="D261">
        <v>1</v>
      </c>
      <c r="E261">
        <v>1</v>
      </c>
      <c r="F261">
        <v>0.99730792664949497</v>
      </c>
    </row>
    <row r="262" spans="1:6" x14ac:dyDescent="0.35">
      <c r="A262">
        <v>242</v>
      </c>
      <c r="B262">
        <f t="shared" si="3"/>
        <v>226</v>
      </c>
      <c r="C262">
        <v>1</v>
      </c>
      <c r="D262">
        <v>1</v>
      </c>
      <c r="E262">
        <v>1</v>
      </c>
      <c r="F262">
        <v>0.99734680321168301</v>
      </c>
    </row>
    <row r="263" spans="1:6" x14ac:dyDescent="0.35">
      <c r="A263">
        <v>243</v>
      </c>
      <c r="B263">
        <f t="shared" si="3"/>
        <v>227</v>
      </c>
      <c r="C263">
        <v>1</v>
      </c>
      <c r="D263">
        <v>1</v>
      </c>
      <c r="E263">
        <v>1</v>
      </c>
      <c r="F263">
        <v>0.99738496295634604</v>
      </c>
    </row>
    <row r="264" spans="1:6" x14ac:dyDescent="0.35">
      <c r="A264">
        <v>244</v>
      </c>
      <c r="B264">
        <f t="shared" si="3"/>
        <v>228</v>
      </c>
      <c r="C264">
        <v>1</v>
      </c>
      <c r="D264">
        <v>1</v>
      </c>
      <c r="E264">
        <v>1</v>
      </c>
      <c r="F264">
        <v>0.99742242192771302</v>
      </c>
    </row>
    <row r="265" spans="1:6" x14ac:dyDescent="0.35">
      <c r="A265">
        <v>245</v>
      </c>
      <c r="B265">
        <f t="shared" si="3"/>
        <v>229</v>
      </c>
      <c r="C265">
        <v>1</v>
      </c>
      <c r="D265">
        <v>1</v>
      </c>
      <c r="E265">
        <v>1</v>
      </c>
      <c r="F265">
        <v>0.99745919574854103</v>
      </c>
    </row>
    <row r="266" spans="1:6" x14ac:dyDescent="0.35">
      <c r="A266">
        <v>246</v>
      </c>
      <c r="B266">
        <f t="shared" si="3"/>
        <v>230</v>
      </c>
      <c r="C266">
        <v>1</v>
      </c>
      <c r="D266">
        <v>1</v>
      </c>
      <c r="E266">
        <v>1</v>
      </c>
      <c r="F266">
        <v>0.99749529963280004</v>
      </c>
    </row>
    <row r="267" spans="1:6" x14ac:dyDescent="0.35">
      <c r="A267">
        <v>247</v>
      </c>
      <c r="B267">
        <f t="shared" si="3"/>
        <v>231</v>
      </c>
      <c r="C267">
        <v>1</v>
      </c>
      <c r="D267">
        <v>1</v>
      </c>
      <c r="E267">
        <v>1</v>
      </c>
      <c r="F267">
        <v>0.99753074839792699</v>
      </c>
    </row>
    <row r="268" spans="1:6" x14ac:dyDescent="0.35">
      <c r="A268">
        <v>248</v>
      </c>
      <c r="B268">
        <f t="shared" si="3"/>
        <v>231</v>
      </c>
      <c r="C268">
        <v>1</v>
      </c>
      <c r="D268">
        <v>1</v>
      </c>
      <c r="E268">
        <v>1</v>
      </c>
      <c r="F268">
        <v>0.997565556476668</v>
      </c>
    </row>
    <row r="269" spans="1:6" x14ac:dyDescent="0.35">
      <c r="A269">
        <v>249</v>
      </c>
      <c r="B269">
        <f t="shared" si="3"/>
        <v>232</v>
      </c>
      <c r="C269">
        <v>1</v>
      </c>
      <c r="D269">
        <v>1</v>
      </c>
      <c r="E269">
        <v>1</v>
      </c>
      <c r="F269">
        <v>0.99759973792851797</v>
      </c>
    </row>
    <row r="270" spans="1:6" x14ac:dyDescent="0.35">
      <c r="A270">
        <v>250</v>
      </c>
      <c r="B270">
        <f t="shared" si="3"/>
        <v>233</v>
      </c>
      <c r="C270">
        <v>1</v>
      </c>
      <c r="D270">
        <v>1</v>
      </c>
      <c r="E270">
        <v>1</v>
      </c>
      <c r="F270">
        <v>0.99763330645078596</v>
      </c>
    </row>
  </sheetData>
  <sheetProtection sheet="1" objects="1" scenarios="1"/>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7"/>
  <sheetViews>
    <sheetView zoomScale="85" zoomScaleNormal="85" workbookViewId="0">
      <selection activeCell="B30" sqref="B30"/>
    </sheetView>
  </sheetViews>
  <sheetFormatPr defaultColWidth="9.1796875" defaultRowHeight="14.5" x14ac:dyDescent="0.35"/>
  <cols>
    <col min="1" max="1" width="10.7265625" customWidth="1"/>
    <col min="2" max="2" width="132.453125" customWidth="1"/>
    <col min="3" max="3" width="60" customWidth="1"/>
    <col min="4" max="4" width="59.7265625" customWidth="1"/>
    <col min="5" max="5" width="53.453125" customWidth="1"/>
    <col min="6" max="6" width="56.26953125" customWidth="1"/>
    <col min="7" max="7" width="29.7265625" customWidth="1"/>
    <col min="8" max="8" width="17.54296875" customWidth="1"/>
    <col min="9" max="9" width="18.1796875" customWidth="1"/>
  </cols>
  <sheetData>
    <row r="1" spans="1:8" x14ac:dyDescent="0.35">
      <c r="A1" s="3" t="s">
        <v>8</v>
      </c>
    </row>
    <row r="2" spans="1:8" ht="15" thickBot="1" x14ac:dyDescent="0.4">
      <c r="A2" s="4">
        <f>28-COUNTIF(B5:B32,"")</f>
        <v>23</v>
      </c>
    </row>
    <row r="3" spans="1:8" x14ac:dyDescent="0.35">
      <c r="A3" t="s">
        <v>161</v>
      </c>
    </row>
    <row r="4" spans="1:8" s="5" customFormat="1" ht="15" thickBot="1" x14ac:dyDescent="0.4">
      <c r="A4" s="5" t="s">
        <v>6</v>
      </c>
      <c r="B4" s="5" t="s">
        <v>5</v>
      </c>
      <c r="C4" s="5" t="s">
        <v>7</v>
      </c>
    </row>
    <row r="5" spans="1:8" x14ac:dyDescent="0.35">
      <c r="A5">
        <v>1</v>
      </c>
      <c r="B5" t="s">
        <v>143</v>
      </c>
      <c r="C5" s="2"/>
      <c r="D5" s="2"/>
      <c r="E5" s="2"/>
      <c r="F5" s="2"/>
      <c r="G5" s="2"/>
      <c r="H5" s="2"/>
    </row>
    <row r="6" spans="1:8" x14ac:dyDescent="0.35">
      <c r="A6">
        <v>2</v>
      </c>
      <c r="B6" t="s">
        <v>144</v>
      </c>
    </row>
    <row r="7" spans="1:8" x14ac:dyDescent="0.35">
      <c r="A7">
        <v>3</v>
      </c>
      <c r="B7" t="s">
        <v>145</v>
      </c>
    </row>
    <row r="8" spans="1:8" x14ac:dyDescent="0.35">
      <c r="A8">
        <v>4</v>
      </c>
      <c r="B8" t="s">
        <v>172</v>
      </c>
      <c r="C8" s="2"/>
      <c r="D8" s="2"/>
      <c r="E8" s="2"/>
      <c r="F8" s="2"/>
      <c r="G8" s="2"/>
      <c r="H8" s="2"/>
    </row>
    <row r="9" spans="1:8" x14ac:dyDescent="0.35">
      <c r="A9">
        <v>5</v>
      </c>
      <c r="B9" t="s">
        <v>230</v>
      </c>
      <c r="C9" s="2" t="s">
        <v>1</v>
      </c>
      <c r="D9" s="15" t="s">
        <v>2</v>
      </c>
      <c r="E9" s="15"/>
      <c r="F9" s="2"/>
      <c r="G9" s="2"/>
    </row>
    <row r="10" spans="1:8" x14ac:dyDescent="0.35">
      <c r="A10">
        <v>6</v>
      </c>
      <c r="B10" t="s">
        <v>231</v>
      </c>
      <c r="C10" s="2" t="s">
        <v>1</v>
      </c>
      <c r="D10" s="15" t="s">
        <v>2</v>
      </c>
      <c r="E10" s="15"/>
      <c r="F10" s="2"/>
      <c r="G10" s="2"/>
    </row>
    <row r="11" spans="1:8" x14ac:dyDescent="0.35">
      <c r="A11">
        <v>7</v>
      </c>
      <c r="B11" t="s">
        <v>232</v>
      </c>
      <c r="C11" s="2" t="s">
        <v>1</v>
      </c>
      <c r="D11" s="15" t="s">
        <v>2</v>
      </c>
      <c r="E11" s="15"/>
      <c r="F11" s="2"/>
      <c r="G11" s="2"/>
    </row>
    <row r="12" spans="1:8" x14ac:dyDescent="0.35">
      <c r="A12">
        <v>8</v>
      </c>
      <c r="B12" t="s">
        <v>260</v>
      </c>
      <c r="C12" s="2" t="s">
        <v>1</v>
      </c>
      <c r="D12" s="15" t="s">
        <v>2</v>
      </c>
      <c r="E12" s="15"/>
      <c r="F12" s="2"/>
      <c r="G12" s="2"/>
    </row>
    <row r="13" spans="1:8" x14ac:dyDescent="0.35">
      <c r="A13">
        <v>9</v>
      </c>
      <c r="B13" t="s">
        <v>271</v>
      </c>
      <c r="C13" s="2" t="s">
        <v>2</v>
      </c>
      <c r="D13" s="2" t="s">
        <v>1</v>
      </c>
      <c r="E13" s="2"/>
      <c r="F13" s="2"/>
      <c r="G13" s="2"/>
      <c r="H13" s="2"/>
    </row>
    <row r="14" spans="1:8" x14ac:dyDescent="0.35">
      <c r="A14">
        <v>10</v>
      </c>
      <c r="B14" t="s">
        <v>173</v>
      </c>
      <c r="C14" t="s">
        <v>146</v>
      </c>
      <c r="D14" t="s">
        <v>147</v>
      </c>
      <c r="E14" t="s">
        <v>149</v>
      </c>
      <c r="F14" t="s">
        <v>148</v>
      </c>
      <c r="G14" s="2"/>
      <c r="H14" s="2"/>
    </row>
    <row r="15" spans="1:8" x14ac:dyDescent="0.35">
      <c r="A15">
        <v>11</v>
      </c>
      <c r="B15" t="s">
        <v>174</v>
      </c>
      <c r="C15" t="s">
        <v>146</v>
      </c>
      <c r="D15" t="s">
        <v>147</v>
      </c>
      <c r="E15" t="s">
        <v>149</v>
      </c>
      <c r="F15" t="s">
        <v>148</v>
      </c>
      <c r="G15" s="2"/>
      <c r="H15" s="2"/>
    </row>
    <row r="16" spans="1:8" x14ac:dyDescent="0.35">
      <c r="A16">
        <v>12</v>
      </c>
      <c r="B16" t="s">
        <v>272</v>
      </c>
      <c r="C16" s="15" t="s">
        <v>263</v>
      </c>
      <c r="D16" s="15" t="s">
        <v>261</v>
      </c>
      <c r="E16" s="15" t="s">
        <v>264</v>
      </c>
      <c r="F16" s="2" t="s">
        <v>262</v>
      </c>
      <c r="G16" s="2"/>
      <c r="H16" s="2"/>
    </row>
    <row r="17" spans="1:11" x14ac:dyDescent="0.35">
      <c r="A17">
        <v>13</v>
      </c>
      <c r="B17" t="s">
        <v>273</v>
      </c>
      <c r="C17" s="2" t="s">
        <v>1</v>
      </c>
      <c r="D17" s="2" t="s">
        <v>2</v>
      </c>
      <c r="E17" s="2"/>
      <c r="F17" s="2"/>
      <c r="G17" s="2"/>
      <c r="H17" s="2"/>
    </row>
    <row r="18" spans="1:11" x14ac:dyDescent="0.35">
      <c r="A18">
        <v>14</v>
      </c>
      <c r="B18" s="15" t="s">
        <v>256</v>
      </c>
      <c r="C18" s="2" t="s">
        <v>4</v>
      </c>
      <c r="D18" s="2" t="s">
        <v>58</v>
      </c>
      <c r="E18" t="s">
        <v>122</v>
      </c>
      <c r="F18" t="s">
        <v>123</v>
      </c>
      <c r="G18" t="s">
        <v>124</v>
      </c>
      <c r="H18" t="s">
        <v>125</v>
      </c>
      <c r="I18" t="s">
        <v>266</v>
      </c>
      <c r="J18" t="s">
        <v>23</v>
      </c>
      <c r="K18" t="s">
        <v>65</v>
      </c>
    </row>
    <row r="19" spans="1:11" x14ac:dyDescent="0.35">
      <c r="A19">
        <v>15</v>
      </c>
      <c r="B19" s="15" t="s">
        <v>257</v>
      </c>
      <c r="C19" s="2" t="s">
        <v>4</v>
      </c>
      <c r="D19" s="2" t="s">
        <v>58</v>
      </c>
      <c r="E19" t="s">
        <v>122</v>
      </c>
      <c r="F19" t="s">
        <v>123</v>
      </c>
      <c r="G19" t="s">
        <v>158</v>
      </c>
      <c r="H19" t="s">
        <v>125</v>
      </c>
      <c r="I19" t="s">
        <v>126</v>
      </c>
      <c r="J19" t="s">
        <v>23</v>
      </c>
      <c r="K19" t="s">
        <v>65</v>
      </c>
    </row>
    <row r="20" spans="1:11" x14ac:dyDescent="0.35">
      <c r="A20">
        <v>16</v>
      </c>
      <c r="B20" s="15" t="s">
        <v>258</v>
      </c>
      <c r="C20" s="2" t="s">
        <v>4</v>
      </c>
      <c r="D20" s="2" t="s">
        <v>58</v>
      </c>
      <c r="E20" t="s">
        <v>122</v>
      </c>
      <c r="F20" t="s">
        <v>159</v>
      </c>
      <c r="G20" t="s">
        <v>124</v>
      </c>
      <c r="H20" t="s">
        <v>125</v>
      </c>
      <c r="I20" t="s">
        <v>126</v>
      </c>
      <c r="J20" t="s">
        <v>23</v>
      </c>
      <c r="K20" t="s">
        <v>65</v>
      </c>
    </row>
    <row r="21" spans="1:11" x14ac:dyDescent="0.35">
      <c r="A21">
        <v>17</v>
      </c>
      <c r="B21" s="15" t="s">
        <v>259</v>
      </c>
      <c r="C21" s="2" t="s">
        <v>4</v>
      </c>
      <c r="D21" s="2" t="s">
        <v>58</v>
      </c>
      <c r="E21" t="s">
        <v>160</v>
      </c>
      <c r="F21" t="s">
        <v>123</v>
      </c>
      <c r="G21" t="s">
        <v>124</v>
      </c>
      <c r="H21" t="s">
        <v>125</v>
      </c>
      <c r="I21" t="s">
        <v>126</v>
      </c>
      <c r="J21" t="s">
        <v>23</v>
      </c>
      <c r="K21" t="s">
        <v>65</v>
      </c>
    </row>
    <row r="22" spans="1:11" x14ac:dyDescent="0.35">
      <c r="C22" s="2"/>
      <c r="D22" s="2"/>
      <c r="E22" s="2"/>
      <c r="F22" s="2"/>
      <c r="G22" s="2"/>
      <c r="H22" s="2"/>
    </row>
    <row r="23" spans="1:11" x14ac:dyDescent="0.35">
      <c r="C23" s="2"/>
      <c r="D23" s="2"/>
      <c r="E23" s="2"/>
      <c r="F23" s="2"/>
      <c r="G23" s="2"/>
      <c r="H23" s="2"/>
    </row>
    <row r="24" spans="1:11" x14ac:dyDescent="0.35">
      <c r="A24" t="s">
        <v>162</v>
      </c>
      <c r="C24" s="2"/>
      <c r="D24" s="2"/>
      <c r="E24" s="2"/>
      <c r="F24" s="2"/>
    </row>
    <row r="25" spans="1:11" x14ac:dyDescent="0.35">
      <c r="B25" t="s">
        <v>143</v>
      </c>
      <c r="C25" s="2"/>
      <c r="D25" s="2"/>
      <c r="E25" s="2"/>
    </row>
    <row r="26" spans="1:11" x14ac:dyDescent="0.35">
      <c r="B26" t="s">
        <v>144</v>
      </c>
    </row>
    <row r="27" spans="1:11" x14ac:dyDescent="0.35">
      <c r="B27" t="s">
        <v>145</v>
      </c>
    </row>
    <row r="28" spans="1:11" x14ac:dyDescent="0.35">
      <c r="B28" t="s">
        <v>303</v>
      </c>
      <c r="C28" t="s">
        <v>2</v>
      </c>
      <c r="D28" t="s">
        <v>1</v>
      </c>
    </row>
    <row r="29" spans="1:11" x14ac:dyDescent="0.35">
      <c r="B29" t="s">
        <v>304</v>
      </c>
      <c r="C29" t="s">
        <v>2</v>
      </c>
      <c r="D29" t="s">
        <v>1</v>
      </c>
    </row>
    <row r="30" spans="1:11" ht="15" x14ac:dyDescent="0.4">
      <c r="B30" t="s">
        <v>305</v>
      </c>
      <c r="C30" s="18" t="s">
        <v>265</v>
      </c>
      <c r="D30" s="18" t="s">
        <v>183</v>
      </c>
    </row>
    <row r="32" spans="1:11" s="5" customFormat="1" ht="15" thickBot="1" x14ac:dyDescent="0.4">
      <c r="A32" s="5" t="str">
        <f>IF(B32 = "", "", A31+1)</f>
        <v/>
      </c>
    </row>
    <row r="33" spans="1:12" ht="15" thickBot="1" x14ac:dyDescent="0.4">
      <c r="A33" s="5" t="s">
        <v>6</v>
      </c>
      <c r="B33" s="5" t="s">
        <v>5</v>
      </c>
      <c r="C33" s="5" t="s">
        <v>9</v>
      </c>
    </row>
    <row r="34" spans="1:12" x14ac:dyDescent="0.35">
      <c r="A34">
        <f t="shared" ref="A34:B61" si="0">A5</f>
        <v>1</v>
      </c>
      <c r="B34" t="str">
        <f t="shared" si="0"/>
        <v>1. How many turbines are at the facility (1 - 999)?</v>
      </c>
      <c r="C34" t="str">
        <f t="shared" ref="C34:C61" si="1">IF(C5 = "", "", 1)</f>
        <v/>
      </c>
      <c r="D34" t="str">
        <f t="shared" ref="D34:J37" si="2">IF(D5 = "", "", C34+1)</f>
        <v/>
      </c>
      <c r="E34" t="str">
        <f t="shared" si="2"/>
        <v/>
      </c>
      <c r="F34" t="str">
        <f t="shared" si="2"/>
        <v/>
      </c>
      <c r="G34" t="str">
        <f t="shared" si="2"/>
        <v/>
      </c>
      <c r="H34" t="str">
        <f t="shared" si="2"/>
        <v/>
      </c>
      <c r="I34" t="str">
        <f t="shared" si="2"/>
        <v/>
      </c>
      <c r="J34" t="str">
        <f t="shared" si="2"/>
        <v/>
      </c>
    </row>
    <row r="35" spans="1:12" x14ac:dyDescent="0.35">
      <c r="A35">
        <f t="shared" si="0"/>
        <v>2</v>
      </c>
      <c r="B35" t="str">
        <f t="shared" si="0"/>
        <v>2. What is the hub height of the turbines (m)?</v>
      </c>
      <c r="C35" t="str">
        <f t="shared" si="1"/>
        <v/>
      </c>
      <c r="D35" t="str">
        <f t="shared" si="2"/>
        <v/>
      </c>
      <c r="E35" t="str">
        <f t="shared" si="2"/>
        <v/>
      </c>
      <c r="F35" t="str">
        <f t="shared" si="2"/>
        <v/>
      </c>
      <c r="G35" t="str">
        <f t="shared" si="2"/>
        <v/>
      </c>
      <c r="H35" t="str">
        <f t="shared" si="2"/>
        <v/>
      </c>
      <c r="I35" t="str">
        <f t="shared" si="2"/>
        <v/>
      </c>
      <c r="J35" t="str">
        <f t="shared" si="2"/>
        <v/>
      </c>
    </row>
    <row r="36" spans="1:12" x14ac:dyDescent="0.35">
      <c r="A36">
        <f t="shared" si="0"/>
        <v>3</v>
      </c>
      <c r="B36" t="str">
        <f t="shared" si="0"/>
        <v>3. What is the blade length of the turbines (m)?</v>
      </c>
      <c r="C36" t="str">
        <f t="shared" si="1"/>
        <v/>
      </c>
      <c r="D36" t="str">
        <f t="shared" si="2"/>
        <v/>
      </c>
      <c r="E36" t="str">
        <f t="shared" si="2"/>
        <v/>
      </c>
      <c r="F36" t="str">
        <f t="shared" si="2"/>
        <v/>
      </c>
      <c r="G36" t="str">
        <f t="shared" si="2"/>
        <v/>
      </c>
      <c r="H36" t="str">
        <f t="shared" si="2"/>
        <v/>
      </c>
      <c r="I36" t="str">
        <f t="shared" si="2"/>
        <v/>
      </c>
      <c r="J36" t="str">
        <f t="shared" si="2"/>
        <v/>
      </c>
    </row>
    <row r="37" spans="1:12" x14ac:dyDescent="0.35">
      <c r="A37">
        <f t="shared" si="0"/>
        <v>4</v>
      </c>
      <c r="B37" t="str">
        <f t="shared" si="0"/>
        <v>1. How large are the turbine pads (average square m)?</v>
      </c>
      <c r="C37" t="str">
        <f t="shared" si="1"/>
        <v/>
      </c>
      <c r="D37" t="str">
        <f t="shared" si="2"/>
        <v/>
      </c>
      <c r="E37" t="str">
        <f t="shared" si="2"/>
        <v/>
      </c>
      <c r="F37" t="str">
        <f t="shared" si="2"/>
        <v/>
      </c>
      <c r="G37" t="str">
        <f t="shared" si="2"/>
        <v/>
      </c>
      <c r="H37" t="str">
        <f t="shared" si="2"/>
        <v/>
      </c>
      <c r="I37" t="str">
        <f t="shared" si="2"/>
        <v/>
      </c>
      <c r="J37" t="str">
        <f t="shared" si="2"/>
        <v/>
      </c>
    </row>
    <row r="38" spans="1:12" x14ac:dyDescent="0.35">
      <c r="A38">
        <f t="shared" si="0"/>
        <v>5</v>
      </c>
      <c r="B38" t="str">
        <f t="shared" si="0"/>
        <v>2. Do first year fatality data indicate that the annual turbine fatality rate for large birds (over 55 cm) at the project is likely to be a concern* or do monitoring objectives for the project focus on large birds for some other reason?</v>
      </c>
      <c r="C38">
        <f t="shared" si="1"/>
        <v>1</v>
      </c>
      <c r="D38">
        <f>IF(D9 = "", "",C38+2)</f>
        <v>3</v>
      </c>
      <c r="E38" t="str">
        <f>IF(E9 = "", "",D38+1)</f>
        <v/>
      </c>
      <c r="F38" t="str">
        <f t="shared" ref="F38:I61" si="3">IF(F9 = "", "", E38+1)</f>
        <v/>
      </c>
      <c r="G38" t="str">
        <f t="shared" si="3"/>
        <v/>
      </c>
      <c r="H38" t="str">
        <f t="shared" si="3"/>
        <v/>
      </c>
      <c r="I38" t="str">
        <f t="shared" si="3"/>
        <v/>
      </c>
    </row>
    <row r="39" spans="1:12" x14ac:dyDescent="0.35">
      <c r="A39">
        <f t="shared" si="0"/>
        <v>6</v>
      </c>
      <c r="B39" t="str">
        <f t="shared" si="0"/>
        <v>3.Do first year fatality data indicate that the annual turbine fatality rate for medium birds (30 - 55 cm) at the project is likely to be a concern* or do monitoring objectives for the project focus on medium birds for some other reason?</v>
      </c>
      <c r="C39">
        <f t="shared" si="1"/>
        <v>1</v>
      </c>
      <c r="D39">
        <f t="shared" ref="D39:D41" si="4">IF(D10 = "", "",C39+2)</f>
        <v>3</v>
      </c>
      <c r="E39" t="str">
        <f t="shared" ref="E39:E41" si="5">IF(E10 = "", "",D39+1)</f>
        <v/>
      </c>
      <c r="F39" t="str">
        <f t="shared" si="3"/>
        <v/>
      </c>
      <c r="G39" t="str">
        <f t="shared" si="3"/>
        <v/>
      </c>
      <c r="H39" t="str">
        <f t="shared" si="3"/>
        <v/>
      </c>
      <c r="I39" t="str">
        <f t="shared" si="3"/>
        <v/>
      </c>
    </row>
    <row r="40" spans="1:12" x14ac:dyDescent="0.35">
      <c r="A40">
        <f t="shared" si="0"/>
        <v>7</v>
      </c>
      <c r="B40" t="str">
        <f t="shared" si="0"/>
        <v>4. Do first year fatality data indicate that the annual turbine fatality rate for small birds (&lt; 30 cm) at the project is likely to be a concern* or do monitoring objectives for the project focus on small birds for some other reason?</v>
      </c>
      <c r="C40">
        <f t="shared" si="1"/>
        <v>1</v>
      </c>
      <c r="D40">
        <f t="shared" si="4"/>
        <v>3</v>
      </c>
      <c r="E40" t="str">
        <f t="shared" si="5"/>
        <v/>
      </c>
      <c r="F40" t="str">
        <f t="shared" si="3"/>
        <v/>
      </c>
      <c r="G40" t="str">
        <f t="shared" si="3"/>
        <v/>
      </c>
      <c r="H40" t="str">
        <f t="shared" si="3"/>
        <v/>
      </c>
      <c r="I40" t="str">
        <f t="shared" si="3"/>
        <v/>
      </c>
    </row>
    <row r="41" spans="1:12" x14ac:dyDescent="0.35">
      <c r="A41">
        <f t="shared" si="0"/>
        <v>8</v>
      </c>
      <c r="B41" t="str">
        <f t="shared" si="0"/>
        <v>5. Do first year fatality data indicate that the annual turbine fatality rate for bats** at the project is likely to be a concern* or do monitoring objectives for the project focus on bats for some other reason?</v>
      </c>
      <c r="C41">
        <f t="shared" si="1"/>
        <v>1</v>
      </c>
      <c r="D41">
        <f t="shared" si="4"/>
        <v>3</v>
      </c>
      <c r="E41" t="str">
        <f t="shared" si="5"/>
        <v/>
      </c>
      <c r="F41" t="str">
        <f t="shared" si="3"/>
        <v/>
      </c>
      <c r="G41" t="str">
        <f t="shared" si="3"/>
        <v/>
      </c>
      <c r="H41" t="str">
        <f t="shared" si="3"/>
        <v/>
      </c>
      <c r="I41" t="str">
        <f t="shared" si="3"/>
        <v/>
      </c>
    </row>
    <row r="42" spans="1:12" x14ac:dyDescent="0.35">
      <c r="A42">
        <f t="shared" si="0"/>
        <v>9</v>
      </c>
      <c r="B42" t="str">
        <f t="shared" si="0"/>
        <v>6. Is it legal to access areas not on the RAP****?</v>
      </c>
      <c r="C42">
        <f t="shared" si="1"/>
        <v>1</v>
      </c>
      <c r="D42">
        <f>IF(D13 = "", "", C42+1)</f>
        <v>2</v>
      </c>
      <c r="E42" t="str">
        <f>IF(E13 = "", "", D42+1)</f>
        <v/>
      </c>
      <c r="F42" t="str">
        <f t="shared" si="3"/>
        <v/>
      </c>
      <c r="G42" t="str">
        <f t="shared" si="3"/>
        <v/>
      </c>
      <c r="H42" t="str">
        <f t="shared" si="3"/>
        <v/>
      </c>
      <c r="I42" t="str">
        <f t="shared" si="3"/>
        <v/>
      </c>
      <c r="J42" t="str">
        <f t="shared" ref="J42:J61" si="6">IF(J13 = "", "", I42+1)</f>
        <v/>
      </c>
    </row>
    <row r="43" spans="1:12" x14ac:dyDescent="0.35">
      <c r="A43">
        <f t="shared" si="0"/>
        <v>10</v>
      </c>
      <c r="B43" t="str">
        <f t="shared" si="0"/>
        <v>7. Considering the easiest to search areas, how difficult will it be to search for carcasses?</v>
      </c>
      <c r="C43">
        <v>1</v>
      </c>
      <c r="D43">
        <v>2</v>
      </c>
      <c r="E43">
        <v>3</v>
      </c>
      <c r="F43">
        <v>4</v>
      </c>
      <c r="G43" t="str">
        <f t="shared" si="3"/>
        <v/>
      </c>
      <c r="H43" t="str">
        <f t="shared" si="3"/>
        <v/>
      </c>
      <c r="I43" t="str">
        <f t="shared" si="3"/>
        <v/>
      </c>
      <c r="J43" t="str">
        <f t="shared" si="6"/>
        <v/>
      </c>
    </row>
    <row r="44" spans="1:12" x14ac:dyDescent="0.35">
      <c r="A44">
        <f t="shared" si="0"/>
        <v>11</v>
      </c>
      <c r="B44" t="str">
        <f t="shared" si="0"/>
        <v>8. Considering the most difficult to search areas, how difficult will it be to search for carcasses?</v>
      </c>
      <c r="C44">
        <v>1</v>
      </c>
      <c r="D44">
        <v>2</v>
      </c>
      <c r="E44">
        <v>3</v>
      </c>
      <c r="F44">
        <v>4</v>
      </c>
      <c r="G44" t="str">
        <f t="shared" si="3"/>
        <v/>
      </c>
      <c r="H44" t="str">
        <f t="shared" si="3"/>
        <v/>
      </c>
      <c r="I44" t="str">
        <f t="shared" si="3"/>
        <v/>
      </c>
      <c r="J44" t="str">
        <f t="shared" si="6"/>
        <v/>
      </c>
    </row>
    <row r="45" spans="1:12" x14ac:dyDescent="0.35">
      <c r="A45">
        <f t="shared" si="0"/>
        <v>12</v>
      </c>
      <c r="B45" t="str">
        <f t="shared" si="0"/>
        <v>9. How difficult is it to walk transects off the RAP****?</v>
      </c>
      <c r="C45">
        <f t="shared" si="1"/>
        <v>1</v>
      </c>
      <c r="D45">
        <f t="shared" ref="D45:E61" si="7">IF(D16 = "", "", C45+1)</f>
        <v>2</v>
      </c>
      <c r="E45">
        <f t="shared" si="7"/>
        <v>3</v>
      </c>
      <c r="F45">
        <f t="shared" si="3"/>
        <v>4</v>
      </c>
      <c r="G45" t="str">
        <f t="shared" si="3"/>
        <v/>
      </c>
      <c r="H45" t="str">
        <f t="shared" si="3"/>
        <v/>
      </c>
      <c r="I45" t="str">
        <f t="shared" si="3"/>
        <v/>
      </c>
      <c r="J45" t="str">
        <f t="shared" si="6"/>
        <v/>
      </c>
    </row>
    <row r="46" spans="1:12" x14ac:dyDescent="0.35">
      <c r="A46">
        <f t="shared" si="0"/>
        <v>13</v>
      </c>
      <c r="B46" t="str">
        <f t="shared" si="0"/>
        <v>10. Is it safe to search off the RAP****?</v>
      </c>
      <c r="C46">
        <f t="shared" si="1"/>
        <v>1</v>
      </c>
      <c r="D46">
        <f t="shared" si="7"/>
        <v>2</v>
      </c>
      <c r="E46" t="str">
        <f t="shared" si="7"/>
        <v/>
      </c>
      <c r="F46" t="str">
        <f t="shared" si="3"/>
        <v/>
      </c>
      <c r="G46" t="str">
        <f t="shared" si="3"/>
        <v/>
      </c>
      <c r="H46" t="str">
        <f t="shared" si="3"/>
        <v/>
      </c>
      <c r="I46" t="str">
        <f t="shared" si="3"/>
        <v/>
      </c>
      <c r="J46" t="str">
        <f t="shared" si="6"/>
        <v/>
      </c>
    </row>
    <row r="47" spans="1:12" x14ac:dyDescent="0.35">
      <c r="A47">
        <f t="shared" si="0"/>
        <v>14</v>
      </c>
      <c r="B47" t="str">
        <f t="shared" si="0"/>
        <v>11. Based on carcass persistence data from the project area or from a comparable wind project in the immediate vicinity***, what is the likely median removal time (days) of a large bird?</v>
      </c>
      <c r="C47">
        <f t="shared" si="1"/>
        <v>1</v>
      </c>
      <c r="D47">
        <f t="shared" si="7"/>
        <v>2</v>
      </c>
      <c r="E47">
        <f t="shared" si="7"/>
        <v>3</v>
      </c>
      <c r="F47">
        <f t="shared" si="3"/>
        <v>4</v>
      </c>
      <c r="G47">
        <f t="shared" si="3"/>
        <v>5</v>
      </c>
      <c r="H47">
        <f t="shared" si="3"/>
        <v>6</v>
      </c>
      <c r="I47">
        <f t="shared" si="3"/>
        <v>7</v>
      </c>
      <c r="J47">
        <f t="shared" si="6"/>
        <v>8</v>
      </c>
      <c r="K47">
        <f t="shared" ref="K47:L50" si="8">IF(K18 = "", "", J47+1)</f>
        <v>9</v>
      </c>
      <c r="L47" t="str">
        <f t="shared" si="8"/>
        <v/>
      </c>
    </row>
    <row r="48" spans="1:12" x14ac:dyDescent="0.35">
      <c r="A48">
        <f t="shared" si="0"/>
        <v>15</v>
      </c>
      <c r="B48" t="str">
        <f t="shared" si="0"/>
        <v>12. Based on carcass persistence data from the project area or from a comparable wind project in the immediate vicinity***, what is the likely median removal time (days) of a medium bird?</v>
      </c>
      <c r="C48">
        <f t="shared" si="1"/>
        <v>1</v>
      </c>
      <c r="D48">
        <f t="shared" si="7"/>
        <v>2</v>
      </c>
      <c r="E48">
        <f t="shared" si="7"/>
        <v>3</v>
      </c>
      <c r="F48">
        <f t="shared" si="3"/>
        <v>4</v>
      </c>
      <c r="G48">
        <f t="shared" si="3"/>
        <v>5</v>
      </c>
      <c r="H48">
        <f t="shared" si="3"/>
        <v>6</v>
      </c>
      <c r="I48">
        <f t="shared" si="3"/>
        <v>7</v>
      </c>
      <c r="J48">
        <f t="shared" si="6"/>
        <v>8</v>
      </c>
      <c r="K48">
        <f t="shared" si="8"/>
        <v>9</v>
      </c>
      <c r="L48" t="str">
        <f t="shared" si="8"/>
        <v/>
      </c>
    </row>
    <row r="49" spans="1:12" x14ac:dyDescent="0.35">
      <c r="A49">
        <f t="shared" si="0"/>
        <v>16</v>
      </c>
      <c r="B49" t="str">
        <f t="shared" si="0"/>
        <v>13. Based on carcass persistence data from the project area or from a comparable wind project in the immediate vicinity***, what is the likely median removal time (days) of a small bird?</v>
      </c>
      <c r="C49">
        <f t="shared" si="1"/>
        <v>1</v>
      </c>
      <c r="D49">
        <f t="shared" si="7"/>
        <v>2</v>
      </c>
      <c r="E49">
        <f t="shared" si="7"/>
        <v>3</v>
      </c>
      <c r="F49">
        <f t="shared" si="3"/>
        <v>4</v>
      </c>
      <c r="G49">
        <f t="shared" si="3"/>
        <v>5</v>
      </c>
      <c r="H49">
        <f t="shared" si="3"/>
        <v>6</v>
      </c>
      <c r="I49">
        <f t="shared" si="3"/>
        <v>7</v>
      </c>
      <c r="J49">
        <f t="shared" si="6"/>
        <v>8</v>
      </c>
      <c r="K49">
        <f t="shared" si="8"/>
        <v>9</v>
      </c>
      <c r="L49" t="str">
        <f t="shared" si="8"/>
        <v/>
      </c>
    </row>
    <row r="50" spans="1:12" x14ac:dyDescent="0.35">
      <c r="A50">
        <f t="shared" si="0"/>
        <v>17</v>
      </c>
      <c r="B50" t="str">
        <f t="shared" si="0"/>
        <v>14. Based on on carcass persistence data from the project area or from a comparable wind project in the immediate vicinity***, what is the likely median removal time (days) of a bat?</v>
      </c>
      <c r="C50">
        <f t="shared" si="1"/>
        <v>1</v>
      </c>
      <c r="D50">
        <f t="shared" si="7"/>
        <v>2</v>
      </c>
      <c r="E50">
        <f t="shared" si="7"/>
        <v>3</v>
      </c>
      <c r="F50">
        <f t="shared" si="3"/>
        <v>4</v>
      </c>
      <c r="G50">
        <f t="shared" si="3"/>
        <v>5</v>
      </c>
      <c r="H50">
        <f t="shared" si="3"/>
        <v>6</v>
      </c>
      <c r="I50">
        <f t="shared" si="3"/>
        <v>7</v>
      </c>
      <c r="J50">
        <f t="shared" si="6"/>
        <v>8</v>
      </c>
      <c r="K50">
        <f t="shared" si="8"/>
        <v>9</v>
      </c>
      <c r="L50" t="str">
        <f t="shared" si="8"/>
        <v/>
      </c>
    </row>
    <row r="51" spans="1:12" x14ac:dyDescent="0.35">
      <c r="A51">
        <f t="shared" si="0"/>
        <v>0</v>
      </c>
      <c r="B51">
        <f t="shared" si="0"/>
        <v>0</v>
      </c>
      <c r="C51" t="str">
        <f t="shared" si="1"/>
        <v/>
      </c>
      <c r="D51" t="str">
        <f t="shared" si="7"/>
        <v/>
      </c>
      <c r="E51" t="str">
        <f t="shared" si="7"/>
        <v/>
      </c>
      <c r="F51" t="str">
        <f t="shared" si="3"/>
        <v/>
      </c>
      <c r="G51" t="str">
        <f t="shared" si="3"/>
        <v/>
      </c>
      <c r="H51" t="str">
        <f t="shared" si="3"/>
        <v/>
      </c>
      <c r="I51" t="str">
        <f t="shared" si="3"/>
        <v/>
      </c>
      <c r="J51" t="str">
        <f t="shared" si="6"/>
        <v/>
      </c>
    </row>
    <row r="52" spans="1:12" x14ac:dyDescent="0.35">
      <c r="A52">
        <f t="shared" si="0"/>
        <v>0</v>
      </c>
      <c r="B52">
        <f t="shared" si="0"/>
        <v>0</v>
      </c>
      <c r="C52" t="str">
        <f t="shared" si="1"/>
        <v/>
      </c>
      <c r="D52" t="str">
        <f t="shared" si="7"/>
        <v/>
      </c>
      <c r="E52" t="str">
        <f t="shared" si="7"/>
        <v/>
      </c>
      <c r="F52" t="str">
        <f t="shared" si="3"/>
        <v/>
      </c>
      <c r="G52" t="str">
        <f t="shared" si="3"/>
        <v/>
      </c>
      <c r="H52" t="str">
        <f t="shared" si="3"/>
        <v/>
      </c>
      <c r="I52" t="str">
        <f t="shared" si="3"/>
        <v/>
      </c>
      <c r="J52" t="str">
        <f t="shared" si="6"/>
        <v/>
      </c>
    </row>
    <row r="53" spans="1:12" x14ac:dyDescent="0.35">
      <c r="A53" t="str">
        <f t="shared" si="0"/>
        <v>Questions for Year 1</v>
      </c>
      <c r="B53">
        <f t="shared" si="0"/>
        <v>0</v>
      </c>
      <c r="C53" t="str">
        <f t="shared" si="1"/>
        <v/>
      </c>
      <c r="D53" t="str">
        <f t="shared" si="7"/>
        <v/>
      </c>
      <c r="E53" t="str">
        <f t="shared" si="7"/>
        <v/>
      </c>
      <c r="F53" t="str">
        <f t="shared" si="3"/>
        <v/>
      </c>
      <c r="G53" t="str">
        <f t="shared" si="3"/>
        <v/>
      </c>
      <c r="H53" t="str">
        <f t="shared" si="3"/>
        <v/>
      </c>
      <c r="I53" t="str">
        <f t="shared" si="3"/>
        <v/>
      </c>
      <c r="J53" t="str">
        <f t="shared" si="6"/>
        <v/>
      </c>
    </row>
    <row r="54" spans="1:12" x14ac:dyDescent="0.35">
      <c r="A54">
        <f t="shared" si="0"/>
        <v>0</v>
      </c>
      <c r="B54" t="str">
        <f t="shared" si="0"/>
        <v>1. How many turbines are at the facility (1 - 999)?</v>
      </c>
      <c r="C54" t="str">
        <f t="shared" si="1"/>
        <v/>
      </c>
      <c r="D54" t="str">
        <f t="shared" si="7"/>
        <v/>
      </c>
      <c r="E54" t="str">
        <f t="shared" si="7"/>
        <v/>
      </c>
      <c r="F54" t="str">
        <f t="shared" si="3"/>
        <v/>
      </c>
      <c r="G54" t="str">
        <f t="shared" si="3"/>
        <v/>
      </c>
      <c r="H54" t="str">
        <f t="shared" si="3"/>
        <v/>
      </c>
      <c r="I54" t="str">
        <f t="shared" si="3"/>
        <v/>
      </c>
      <c r="J54" t="str">
        <f t="shared" si="6"/>
        <v/>
      </c>
    </row>
    <row r="55" spans="1:12" x14ac:dyDescent="0.35">
      <c r="A55">
        <f t="shared" si="0"/>
        <v>0</v>
      </c>
      <c r="B55" t="str">
        <f t="shared" si="0"/>
        <v>2. What is the hub height of the turbines (m)?</v>
      </c>
      <c r="C55" t="str">
        <f t="shared" si="1"/>
        <v/>
      </c>
      <c r="D55" t="str">
        <f t="shared" si="7"/>
        <v/>
      </c>
      <c r="E55" t="str">
        <f t="shared" si="7"/>
        <v/>
      </c>
      <c r="F55" t="str">
        <f t="shared" si="3"/>
        <v/>
      </c>
      <c r="G55" t="str">
        <f t="shared" si="3"/>
        <v/>
      </c>
      <c r="H55" t="str">
        <f t="shared" si="3"/>
        <v/>
      </c>
      <c r="I55" t="str">
        <f t="shared" si="3"/>
        <v/>
      </c>
      <c r="J55" t="str">
        <f t="shared" si="6"/>
        <v/>
      </c>
    </row>
    <row r="56" spans="1:12" x14ac:dyDescent="0.35">
      <c r="A56">
        <f t="shared" si="0"/>
        <v>0</v>
      </c>
      <c r="B56" t="str">
        <f t="shared" si="0"/>
        <v>3. What is the blade length of the turbines (m)?</v>
      </c>
      <c r="C56" t="str">
        <f t="shared" si="1"/>
        <v/>
      </c>
      <c r="D56" t="str">
        <f t="shared" si="7"/>
        <v/>
      </c>
      <c r="E56" t="str">
        <f t="shared" si="7"/>
        <v/>
      </c>
      <c r="F56" t="str">
        <f t="shared" si="3"/>
        <v/>
      </c>
      <c r="G56" t="str">
        <f t="shared" si="3"/>
        <v/>
      </c>
      <c r="H56" t="str">
        <f t="shared" si="3"/>
        <v/>
      </c>
      <c r="I56" t="str">
        <f t="shared" si="3"/>
        <v/>
      </c>
      <c r="J56" t="str">
        <f t="shared" si="6"/>
        <v/>
      </c>
    </row>
    <row r="57" spans="1:12" x14ac:dyDescent="0.35">
      <c r="A57">
        <f t="shared" si="0"/>
        <v>0</v>
      </c>
      <c r="B57" t="str">
        <f t="shared" si="0"/>
        <v>4. Is it legal to access areas not on the RAP?</v>
      </c>
      <c r="C57">
        <f t="shared" si="1"/>
        <v>1</v>
      </c>
      <c r="D57">
        <f t="shared" si="7"/>
        <v>2</v>
      </c>
      <c r="E57" t="str">
        <f t="shared" si="7"/>
        <v/>
      </c>
      <c r="F57" t="str">
        <f t="shared" si="3"/>
        <v/>
      </c>
      <c r="G57" t="str">
        <f t="shared" si="3"/>
        <v/>
      </c>
      <c r="H57" t="str">
        <f t="shared" si="3"/>
        <v/>
      </c>
      <c r="I57" t="str">
        <f t="shared" si="3"/>
        <v/>
      </c>
      <c r="J57" t="str">
        <f t="shared" si="6"/>
        <v/>
      </c>
    </row>
    <row r="58" spans="1:12" x14ac:dyDescent="0.35">
      <c r="A58">
        <f t="shared" si="0"/>
        <v>0</v>
      </c>
      <c r="B58" t="str">
        <f>B30</f>
        <v>6. Is the vegetation beyond the RAP conducive to searching?</v>
      </c>
      <c r="C58">
        <f>IF(C30 = "", "", 1)</f>
        <v>1</v>
      </c>
      <c r="D58">
        <f>IF(D30 = "", "", C58+1)</f>
        <v>2</v>
      </c>
      <c r="E58" t="str">
        <f t="shared" si="7"/>
        <v/>
      </c>
      <c r="F58" t="str">
        <f t="shared" si="3"/>
        <v/>
      </c>
      <c r="G58" t="str">
        <f t="shared" si="3"/>
        <v/>
      </c>
      <c r="H58" t="str">
        <f t="shared" si="3"/>
        <v/>
      </c>
      <c r="I58" t="str">
        <f t="shared" si="3"/>
        <v/>
      </c>
      <c r="J58" t="str">
        <f t="shared" si="6"/>
        <v/>
      </c>
    </row>
    <row r="59" spans="1:12" x14ac:dyDescent="0.35">
      <c r="A59">
        <f t="shared" si="0"/>
        <v>0</v>
      </c>
      <c r="B59" t="e">
        <f>#REF!</f>
        <v>#REF!</v>
      </c>
      <c r="C59" t="e">
        <f>IF(#REF! = "", "", 1)</f>
        <v>#REF!</v>
      </c>
      <c r="D59" t="e">
        <f>IF(#REF! = "", "", C59+1)</f>
        <v>#REF!</v>
      </c>
      <c r="E59" t="str">
        <f t="shared" si="7"/>
        <v/>
      </c>
      <c r="F59" t="str">
        <f t="shared" si="3"/>
        <v/>
      </c>
      <c r="G59" t="str">
        <f t="shared" si="3"/>
        <v/>
      </c>
      <c r="H59" t="str">
        <f t="shared" si="3"/>
        <v/>
      </c>
      <c r="I59" t="str">
        <f t="shared" si="3"/>
        <v/>
      </c>
      <c r="J59" t="str">
        <f t="shared" si="6"/>
        <v/>
      </c>
    </row>
    <row r="60" spans="1:12" x14ac:dyDescent="0.35">
      <c r="A60">
        <f t="shared" si="0"/>
        <v>0</v>
      </c>
      <c r="B60">
        <f t="shared" si="0"/>
        <v>0</v>
      </c>
      <c r="C60" t="str">
        <f t="shared" si="1"/>
        <v/>
      </c>
      <c r="D60" t="str">
        <f t="shared" si="7"/>
        <v/>
      </c>
      <c r="E60" t="str">
        <f t="shared" si="7"/>
        <v/>
      </c>
      <c r="F60" t="str">
        <f t="shared" si="3"/>
        <v/>
      </c>
      <c r="G60" t="str">
        <f t="shared" si="3"/>
        <v/>
      </c>
      <c r="H60" t="str">
        <f t="shared" si="3"/>
        <v/>
      </c>
      <c r="I60" t="str">
        <f t="shared" si="3"/>
        <v/>
      </c>
      <c r="J60" t="str">
        <f t="shared" si="6"/>
        <v/>
      </c>
    </row>
    <row r="61" spans="1:12" x14ac:dyDescent="0.35">
      <c r="A61" t="str">
        <f t="shared" si="0"/>
        <v/>
      </c>
      <c r="B61">
        <f t="shared" si="0"/>
        <v>0</v>
      </c>
      <c r="C61" t="str">
        <f t="shared" si="1"/>
        <v/>
      </c>
      <c r="D61" t="str">
        <f t="shared" si="7"/>
        <v/>
      </c>
      <c r="E61" t="str">
        <f t="shared" si="7"/>
        <v/>
      </c>
      <c r="F61" t="str">
        <f t="shared" si="3"/>
        <v/>
      </c>
      <c r="G61" t="str">
        <f t="shared" si="3"/>
        <v/>
      </c>
      <c r="H61" t="str">
        <f t="shared" si="3"/>
        <v/>
      </c>
      <c r="I61" t="str">
        <f t="shared" si="3"/>
        <v/>
      </c>
      <c r="J61" t="str">
        <f t="shared" si="6"/>
        <v/>
      </c>
    </row>
    <row r="62" spans="1:12" x14ac:dyDescent="0.35">
      <c r="A62" s="7" t="s">
        <v>39</v>
      </c>
    </row>
    <row r="64" spans="1:12" x14ac:dyDescent="0.35">
      <c r="A64" s="11" t="s">
        <v>107</v>
      </c>
    </row>
    <row r="65" spans="1:1" x14ac:dyDescent="0.35">
      <c r="A65" s="10" t="s">
        <v>106</v>
      </c>
    </row>
    <row r="66" spans="1:1" x14ac:dyDescent="0.35">
      <c r="A66" s="6" t="s">
        <v>108</v>
      </c>
    </row>
    <row r="67" spans="1:1" x14ac:dyDescent="0.35">
      <c r="A67" s="7" t="s">
        <v>38</v>
      </c>
    </row>
  </sheetData>
  <sheetProtection sheet="1" objects="1" scenarios="1"/>
  <sortState xmlns:xlrd2="http://schemas.microsoft.com/office/spreadsheetml/2017/richdata2" ref="A5:J26">
    <sortCondition ref="A5:A26"/>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5"/>
  <sheetViews>
    <sheetView workbookViewId="0">
      <selection activeCell="C14" sqref="C14"/>
    </sheetView>
  </sheetViews>
  <sheetFormatPr defaultColWidth="9.1796875" defaultRowHeight="14.5" x14ac:dyDescent="0.35"/>
  <cols>
    <col min="1" max="1" width="11.81640625" customWidth="1"/>
    <col min="2" max="2" width="69.26953125" customWidth="1"/>
    <col min="3" max="3" width="78.7265625" style="9" customWidth="1"/>
    <col min="4" max="4" width="21" customWidth="1"/>
  </cols>
  <sheetData>
    <row r="1" spans="1:6" x14ac:dyDescent="0.35">
      <c r="A1" t="s">
        <v>6</v>
      </c>
      <c r="B1" s="1" t="s">
        <v>0</v>
      </c>
      <c r="C1" s="9" t="s">
        <v>127</v>
      </c>
      <c r="D1" t="s">
        <v>14</v>
      </c>
    </row>
    <row r="2" spans="1:6" x14ac:dyDescent="0.35">
      <c r="A2">
        <f>IF(ISNUMBER(A1),IF(A1&lt;'questions&amp;ValidAnswers'!A$2, A1+1,1),1)</f>
        <v>1</v>
      </c>
      <c r="B2" t="str">
        <f>VLOOKUP(A2,'questions&amp;ValidAnswers'!A$5:B$32,2,FALSE)</f>
        <v>1. How many turbines are at the facility (1 - 999)?</v>
      </c>
      <c r="C2" s="12">
        <f>'User Interface-Project setup'!B6</f>
        <v>80</v>
      </c>
      <c r="D2" s="6">
        <f>IF(ISNUMBER('User Interface-Project setup'!B6), 'User Interface-Project setup'!B6, HLOOKUP('User Interface-Project setup'!B6,'questions&amp;ValidAnswers'!B5:K60,30,FALSE))</f>
        <v>80</v>
      </c>
    </row>
    <row r="3" spans="1:6" x14ac:dyDescent="0.35">
      <c r="A3">
        <f>IF(ISNUMBER(A2),IF(A2&lt;'questions&amp;ValidAnswers'!A$2, A2+1,1),1)</f>
        <v>2</v>
      </c>
      <c r="B3" t="str">
        <f>VLOOKUP(A3,'questions&amp;ValidAnswers'!A$5:B$32,2,FALSE)</f>
        <v>2. What is the hub height of the turbines (m)?</v>
      </c>
      <c r="C3" s="12">
        <f>'User Interface-Project setup'!B7</f>
        <v>80</v>
      </c>
      <c r="D3" s="6">
        <f>IF(ISNUMBER('User Interface-Project setup'!B7), 'User Interface-Project setup'!B7, HLOOKUP('User Interface-Project setup'!B7,'questions&amp;ValidAnswers'!B6:K61,30,FALSE))</f>
        <v>80</v>
      </c>
    </row>
    <row r="4" spans="1:6" x14ac:dyDescent="0.35">
      <c r="A4">
        <f>IF(ISNUMBER(A3),IF(A3&lt;'questions&amp;ValidAnswers'!A$2, A3+1,1),1)</f>
        <v>3</v>
      </c>
      <c r="B4" t="str">
        <f>VLOOKUP(A4,'questions&amp;ValidAnswers'!A$5:B$32,2,FALSE)</f>
        <v>3. What is the blade length of the turbines (m)?</v>
      </c>
      <c r="C4" s="12">
        <f>'User Interface-Project setup'!B8</f>
        <v>60</v>
      </c>
      <c r="D4" s="6">
        <f>IF(ISNUMBER('User Interface-Project setup'!B8),'User Interface-Project setup'!B8, HLOOKUP('User Interface-Project setup'!B8,'questions&amp;ValidAnswers'!B7:K62,30,FALSE))</f>
        <v>60</v>
      </c>
    </row>
    <row r="5" spans="1:6" x14ac:dyDescent="0.35">
      <c r="A5">
        <f>IF(ISNUMBER(A4),IF(A4&lt;'questions&amp;ValidAnswers'!A$2, A4+1,1),1)</f>
        <v>4</v>
      </c>
      <c r="B5" t="str">
        <f>VLOOKUP(A5,'questions&amp;ValidAnswers'!A$5:B$32,2,FALSE)</f>
        <v>1. How large are the turbine pads (average square m)?</v>
      </c>
      <c r="C5" s="12">
        <f>'User Interface-Subsequent Years'!B8</f>
        <v>300</v>
      </c>
      <c r="D5" s="6">
        <f>IF(ISNUMBER('User Interface-Subsequent Years'!$B8), 'User Interface-Subsequent Years'!$B8, HLOOKUP('User Interface-Subsequent Years'!$B8,'questions&amp;ValidAnswers'!B8:K63,30,FALSE))</f>
        <v>300</v>
      </c>
    </row>
    <row r="6" spans="1:6" x14ac:dyDescent="0.35">
      <c r="A6">
        <f>IF(ISNUMBER(A5),IF(A5&lt;'questions&amp;ValidAnswers'!A$2, A5+1,1),1)</f>
        <v>5</v>
      </c>
      <c r="B6" t="str">
        <f>VLOOKUP(A6,'questions&amp;ValidAnswers'!A$5:B$32,2,FALSE)</f>
        <v>2. Do first year fatality data indicate that the annual turbine fatality rate for large birds (over 55 cm) at the project is likely to be a concern* or do monitoring objectives for the project focus on large birds for some other reason?</v>
      </c>
      <c r="C6" s="12" t="str">
        <f>'User Interface-Subsequent Years'!B9</f>
        <v>Yes</v>
      </c>
      <c r="D6" s="6">
        <f>HLOOKUP('User Interface-Subsequent Years'!$B9,'questions&amp;ValidAnswers'!B9:K64,30,FALSE)</f>
        <v>1</v>
      </c>
      <c r="F6" t="str">
        <f>'User Interface-Subsequent Years'!$B9</f>
        <v>Yes</v>
      </c>
    </row>
    <row r="7" spans="1:6" x14ac:dyDescent="0.35">
      <c r="A7">
        <f>IF(ISNUMBER(A6),IF(A6&lt;'questions&amp;ValidAnswers'!A$2, A6+1,1),1)</f>
        <v>6</v>
      </c>
      <c r="B7" t="str">
        <f>VLOOKUP(A7,'questions&amp;ValidAnswers'!A$5:B$32,2,FALSE)</f>
        <v>3.Do first year fatality data indicate that the annual turbine fatality rate for medium birds (30 - 55 cm) at the project is likely to be a concern* or do monitoring objectives for the project focus on medium birds for some other reason?</v>
      </c>
      <c r="C7" s="12" t="str">
        <f>'User Interface-Subsequent Years'!B10</f>
        <v>No</v>
      </c>
      <c r="D7" s="6">
        <f>IF(ISNUMBER('User Interface-Subsequent Years'!$B10), 'User Interface-Subsequent Years'!$B10, HLOOKUP('User Interface-Subsequent Years'!$B10,'questions&amp;ValidAnswers'!B10:K65,30,FALSE))</f>
        <v>3</v>
      </c>
    </row>
    <row r="8" spans="1:6" x14ac:dyDescent="0.35">
      <c r="A8">
        <f>IF(ISNUMBER(A7),IF(A7&lt;'questions&amp;ValidAnswers'!A$2, A7+1,1),1)</f>
        <v>7</v>
      </c>
      <c r="B8" t="str">
        <f>VLOOKUP(A8,'questions&amp;ValidAnswers'!A$5:B$32,2,FALSE)</f>
        <v>4. Do first year fatality data indicate that the annual turbine fatality rate for small birds (&lt; 30 cm) at the project is likely to be a concern* or do monitoring objectives for the project focus on small birds for some other reason?</v>
      </c>
      <c r="C8" s="12" t="str">
        <f>'User Interface-Subsequent Years'!B11</f>
        <v>No</v>
      </c>
      <c r="D8" s="6">
        <f>IF(ISNUMBER('User Interface-Subsequent Years'!$B11), 'User Interface-Subsequent Years'!$B11, HLOOKUP('User Interface-Subsequent Years'!$B11,'questions&amp;ValidAnswers'!B11:K66,30,FALSE))</f>
        <v>3</v>
      </c>
    </row>
    <row r="9" spans="1:6" x14ac:dyDescent="0.35">
      <c r="A9">
        <f>IF(ISNUMBER(A8),IF(A8&lt;'questions&amp;ValidAnswers'!A$2, A8+1,1),1)</f>
        <v>8</v>
      </c>
      <c r="B9" t="str">
        <f>VLOOKUP(A9,'questions&amp;ValidAnswers'!A$5:B$32,2,FALSE)</f>
        <v>5. Do first year fatality data indicate that the annual turbine fatality rate for bats** at the project is likely to be a concern* or do monitoring objectives for the project focus on bats for some other reason?</v>
      </c>
      <c r="C9" s="12" t="str">
        <f>'User Interface-Subsequent Years'!B12</f>
        <v>No</v>
      </c>
      <c r="D9" s="6">
        <f>IF(ISNUMBER('User Interface-Subsequent Years'!$B12), 'User Interface-Subsequent Years'!$B12, HLOOKUP('User Interface-Subsequent Years'!$B12,'questions&amp;ValidAnswers'!B12:K67,30,FALSE))</f>
        <v>3</v>
      </c>
    </row>
    <row r="10" spans="1:6" x14ac:dyDescent="0.35">
      <c r="A10">
        <f>IF(ISNUMBER(A9),IF(A9&lt;'questions&amp;ValidAnswers'!A$2, A9+1,1),1)</f>
        <v>9</v>
      </c>
      <c r="B10" t="str">
        <f>VLOOKUP(A10,'questions&amp;ValidAnswers'!A$5:B$32,2,FALSE)</f>
        <v>6. Is it legal to access areas not on the RAP****?</v>
      </c>
      <c r="C10" s="12" t="str">
        <f>'User Interface-Subsequent Years'!B13</f>
        <v>Yes</v>
      </c>
      <c r="D10" s="6">
        <f>IF(ISNUMBER('User Interface-Subsequent Years'!$B13), 'User Interface-Subsequent Years'!$B13, HLOOKUP('User Interface-Subsequent Years'!$B13,'questions&amp;ValidAnswers'!B13:K68,30,FALSE))</f>
        <v>2</v>
      </c>
    </row>
    <row r="11" spans="1:6" ht="29" x14ac:dyDescent="0.35">
      <c r="A11">
        <f>IF(ISNUMBER(A10),IF(A10&lt;'questions&amp;ValidAnswers'!A$2, A10+1,1),1)</f>
        <v>10</v>
      </c>
      <c r="B11" t="str">
        <f>VLOOKUP(A11,'questions&amp;ValidAnswers'!A$5:B$32,2,FALSE)</f>
        <v>7. Considering the easiest to search areas, how difficult will it be to search for carcasses?</v>
      </c>
      <c r="C11" s="12" t="str">
        <f>'User Interface-Subsequent Years'!B14</f>
        <v>Easy: Bare ground 90% or greater; all ground cover sparse and 15 cm or less in height (i.e. gravel pad or dirt road).</v>
      </c>
      <c r="D11" s="6">
        <f>IF(ISNUMBER('User Interface-Subsequent Years'!$B14), 'User Interface-Subsequent Years'!$B14, HLOOKUP('User Interface-Subsequent Years'!$B14,'questions&amp;ValidAnswers'!B14:K69,30,FALSE))</f>
        <v>4</v>
      </c>
    </row>
    <row r="12" spans="1:6" ht="29" x14ac:dyDescent="0.35">
      <c r="A12">
        <f>IF(ISNUMBER(A11),IF(A11&lt;'questions&amp;ValidAnswers'!A$2, A11+1,1),1)</f>
        <v>11</v>
      </c>
      <c r="B12" t="str">
        <f>VLOOKUP(A12,'questions&amp;ValidAnswers'!A$5:B$32,2,FALSE)</f>
        <v>8. Considering the most difficult to search areas, how difficult will it be to search for carcasses?</v>
      </c>
      <c r="C12" s="12" t="str">
        <f>'User Interface-Subsequent Years'!B15</f>
        <v>Easy: Bare ground 90% or greater; all ground cover sparse and 15 cm or less in height (i.e. gravel pad or dirt road).</v>
      </c>
      <c r="D12" s="6">
        <f>IF(ISNUMBER('User Interface-Subsequent Years'!$B15), 'User Interface-Subsequent Years'!$B15, HLOOKUP('User Interface-Subsequent Years'!$B15,'questions&amp;ValidAnswers'!B15:K70,30,FALSE))</f>
        <v>4</v>
      </c>
    </row>
    <row r="13" spans="1:6" ht="29" x14ac:dyDescent="0.35">
      <c r="A13">
        <f>IF(ISNUMBER(A12),IF(A12&lt;'questions&amp;ValidAnswers'!A$2, A12+1,1),1)</f>
        <v>12</v>
      </c>
      <c r="B13" t="str">
        <f>VLOOKUP(A13,'questions&amp;ValidAnswers'!A$5:B$32,2,FALSE)</f>
        <v>9. How difficult is it to walk transects off the RAP****?</v>
      </c>
      <c r="C13" s="12" t="str">
        <f>'User Interface-Subsequent Years'!B16</f>
        <v>Easy: Flat to gently rolling landscape with little vegetation and few to no rocks, hummocks, hollows, or other obstacles on the ground.</v>
      </c>
      <c r="D13" s="6">
        <f>IF(ISNUMBER('User Interface-Subsequent Years'!$B16), 'User Interface-Subsequent Years'!$B16, HLOOKUP('User Interface-Subsequent Years'!$B16,'questions&amp;ValidAnswers'!B16:K71,30,FALSE))</f>
        <v>4</v>
      </c>
    </row>
    <row r="14" spans="1:6" x14ac:dyDescent="0.35">
      <c r="A14">
        <f>IF(ISNUMBER(A13),IF(A13&lt;'questions&amp;ValidAnswers'!A$2, A13+1,1),1)</f>
        <v>13</v>
      </c>
      <c r="B14" t="str">
        <f>VLOOKUP(A14,'questions&amp;ValidAnswers'!A$5:B$32,2,FALSE)</f>
        <v>10. Is it safe to search off the RAP****?</v>
      </c>
      <c r="C14" s="12" t="str">
        <f>'User Interface-Subsequent Years'!B17</f>
        <v>Yes</v>
      </c>
      <c r="D14" s="6">
        <f>IF(ISNUMBER('User Interface-Subsequent Years'!$B17), 'User Interface-Subsequent Years'!$B17, HLOOKUP('User Interface-Subsequent Years'!$B17,'questions&amp;ValidAnswers'!B17:K72,30,FALSE))</f>
        <v>1</v>
      </c>
    </row>
    <row r="15" spans="1:6" x14ac:dyDescent="0.35">
      <c r="A15">
        <f>IF(ISNUMBER(A14),IF(A14&lt;'questions&amp;ValidAnswers'!A$2, A14+1,1),1)</f>
        <v>14</v>
      </c>
      <c r="B15" t="str">
        <f>VLOOKUP(A15,'questions&amp;ValidAnswers'!A$5:B$32,2,FALSE)</f>
        <v>11. Based on carcass persistence data from the project area or from a comparable wind project in the immediate vicinity***, what is the likely median removal time (days) of a large bird?</v>
      </c>
      <c r="C15" s="12" t="str">
        <f>'User Interface-Subsequent Years'!B18</f>
        <v>16 to 20 days or unknown</v>
      </c>
      <c r="D15" s="6">
        <f>IF(ISNUMBER('User Interface-Subsequent Years'!$B18), 'User Interface-Subsequent Years'!$B18, HLOOKUP('User Interface-Subsequent Years'!$B18,'questions&amp;ValidAnswers'!B18:K73,30,FALSE))</f>
        <v>7</v>
      </c>
    </row>
    <row r="16" spans="1:6" x14ac:dyDescent="0.35">
      <c r="A16">
        <f>IF(ISNUMBER(A15),IF(A15&lt;'questions&amp;ValidAnswers'!A$2, A15+1,1),1)</f>
        <v>15</v>
      </c>
      <c r="B16" t="str">
        <f>VLOOKUP(A16,'questions&amp;ValidAnswers'!A$5:B$32,2,FALSE)</f>
        <v>12. Based on carcass persistence data from the project area or from a comparable wind project in the immediate vicinity***, what is the likely median removal time (days) of a medium bird?</v>
      </c>
      <c r="C16" s="12" t="str">
        <f>'User Interface-Subsequent Years'!B19</f>
        <v>7 to 9 days or unknown</v>
      </c>
      <c r="D16" s="6">
        <f>IF(ISNUMBER('User Interface-Subsequent Years'!$B19), 'User Interface-Subsequent Years'!$B19, HLOOKUP('User Interface-Subsequent Years'!$B19,'questions&amp;ValidAnswers'!B19:K74,30,FALSE))</f>
        <v>5</v>
      </c>
    </row>
    <row r="17" spans="1:4" x14ac:dyDescent="0.35">
      <c r="A17">
        <f>IF(ISNUMBER(A16),IF(A16&lt;'questions&amp;ValidAnswers'!A$2, A16+1,1),1)</f>
        <v>16</v>
      </c>
      <c r="B17" t="str">
        <f>VLOOKUP(A17,'questions&amp;ValidAnswers'!A$5:B$32,2,FALSE)</f>
        <v>13. Based on carcass persistence data from the project area or from a comparable wind project in the immediate vicinity***, what is the likely median removal time (days) of a small bird?</v>
      </c>
      <c r="C17" s="12" t="str">
        <f>'User Interface-Subsequent Years'!B20</f>
        <v>4 to 6 days or unknown</v>
      </c>
      <c r="D17" s="6">
        <f>IF(ISNUMBER('User Interface-Subsequent Years'!$B20), 'User Interface-Subsequent Years'!$B20, HLOOKUP('User Interface-Subsequent Years'!$B20,'questions&amp;ValidAnswers'!B20:K75,30,FALSE))</f>
        <v>4</v>
      </c>
    </row>
    <row r="18" spans="1:4" x14ac:dyDescent="0.35">
      <c r="A18">
        <f>IF(ISNUMBER(A17),IF(A17&lt;'questions&amp;ValidAnswers'!A$2, A17+1,1),1)</f>
        <v>17</v>
      </c>
      <c r="B18" t="str">
        <f>VLOOKUP(A18,'questions&amp;ValidAnswers'!A$5:B$32,2,FALSE)</f>
        <v>14. Based on on carcass persistence data from the project area or from a comparable wind project in the immediate vicinity***, what is the likely median removal time (days) of a bat?</v>
      </c>
      <c r="C18" s="12" t="str">
        <f>'User Interface-Subsequent Years'!B21</f>
        <v>1 to 3 days or unknown</v>
      </c>
      <c r="D18" s="6">
        <f>IF(ISNUMBER('User Interface-Subsequent Years'!$B21), 'User Interface-Subsequent Years'!$B21, HLOOKUP('User Interface-Subsequent Years'!$B21,'questions&amp;ValidAnswers'!B21:K76,30,FALSE))</f>
        <v>3</v>
      </c>
    </row>
    <row r="20" spans="1:4" x14ac:dyDescent="0.35">
      <c r="A20" s="7" t="s">
        <v>37</v>
      </c>
    </row>
    <row r="22" spans="1:4" x14ac:dyDescent="0.35">
      <c r="A22" s="11" t="s">
        <v>107</v>
      </c>
    </row>
    <row r="23" spans="1:4" x14ac:dyDescent="0.35">
      <c r="A23" s="10" t="s">
        <v>106</v>
      </c>
    </row>
    <row r="24" spans="1:4" x14ac:dyDescent="0.35">
      <c r="A24" s="6" t="s">
        <v>108</v>
      </c>
    </row>
    <row r="25" spans="1:4" x14ac:dyDescent="0.35">
      <c r="A25" s="7" t="s">
        <v>38</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E21"/>
  <sheetViews>
    <sheetView topLeftCell="A3" zoomScale="127" zoomScaleNormal="80" workbookViewId="0">
      <selection activeCell="D13" sqref="D13"/>
    </sheetView>
  </sheetViews>
  <sheetFormatPr defaultRowHeight="14.5" x14ac:dyDescent="0.35"/>
  <cols>
    <col min="1" max="1" width="44.26953125" style="19" customWidth="1"/>
    <col min="2" max="2" width="18.08984375" style="19" customWidth="1"/>
    <col min="3" max="16384" width="8.7265625" style="19"/>
  </cols>
  <sheetData>
    <row r="1" spans="1:5" ht="32.5" customHeight="1" x14ac:dyDescent="0.35">
      <c r="A1" s="145" t="s">
        <v>286</v>
      </c>
      <c r="B1" s="146"/>
      <c r="C1" s="146"/>
      <c r="D1" s="146"/>
      <c r="E1" s="147"/>
    </row>
    <row r="2" spans="1:5" x14ac:dyDescent="0.35">
      <c r="A2" s="21"/>
      <c r="B2" s="21"/>
      <c r="C2" s="21"/>
    </row>
    <row r="3" spans="1:5" ht="18.5" x14ac:dyDescent="0.35">
      <c r="A3" s="142" t="s">
        <v>277</v>
      </c>
      <c r="B3" s="143"/>
      <c r="C3" s="144"/>
    </row>
    <row r="4" spans="1:5" ht="15" thickBot="1" x14ac:dyDescent="0.4">
      <c r="A4" s="21"/>
      <c r="B4" s="21"/>
      <c r="C4" s="21"/>
    </row>
    <row r="5" spans="1:5" ht="26.5" customHeight="1" x14ac:dyDescent="0.35">
      <c r="A5" s="130" t="s">
        <v>274</v>
      </c>
      <c r="B5" s="127" t="s">
        <v>275</v>
      </c>
      <c r="C5" s="112" t="s">
        <v>110</v>
      </c>
      <c r="D5" s="20"/>
    </row>
    <row r="6" spans="1:5" ht="23.5" customHeight="1" x14ac:dyDescent="0.35">
      <c r="A6" s="131" t="str">
        <f>IF('questions&amp;ValidAnswers'!B25 &lt;&gt;"", 'questions&amp;ValidAnswers'!B25, "")</f>
        <v>1. How many turbines are at the facility (1 - 999)?</v>
      </c>
      <c r="B6" s="128">
        <v>80</v>
      </c>
      <c r="C6" s="109" t="s">
        <v>111</v>
      </c>
      <c r="D6" s="20"/>
    </row>
    <row r="7" spans="1:5" ht="23.5" customHeight="1" x14ac:dyDescent="0.35">
      <c r="A7" s="131" t="str">
        <f>IF('questions&amp;ValidAnswers'!B26 &lt;&gt;"", 'questions&amp;ValidAnswers'!B26, "")</f>
        <v>2. What is the hub height of the turbines (m)?</v>
      </c>
      <c r="B7" s="128">
        <v>80</v>
      </c>
      <c r="C7" s="109" t="s">
        <v>112</v>
      </c>
      <c r="D7" s="20"/>
    </row>
    <row r="8" spans="1:5" ht="23.5" customHeight="1" thickBot="1" x14ac:dyDescent="0.4">
      <c r="A8" s="132" t="str">
        <f>IF('questions&amp;ValidAnswers'!B27 &lt;&gt;"", 'questions&amp;ValidAnswers'!B27, "")</f>
        <v>3. What is the blade length of the turbines (m)?</v>
      </c>
      <c r="B8" s="129">
        <v>60</v>
      </c>
      <c r="C8" s="110" t="s">
        <v>112</v>
      </c>
      <c r="D8" s="20"/>
    </row>
    <row r="9" spans="1:5" x14ac:dyDescent="0.35">
      <c r="A9" s="22"/>
      <c r="B9" s="22"/>
      <c r="C9" s="22"/>
    </row>
    <row r="10" spans="1:5" ht="27.5" customHeight="1" x14ac:dyDescent="0.35">
      <c r="A10" s="139" t="s">
        <v>276</v>
      </c>
      <c r="B10" s="140"/>
      <c r="C10" s="141"/>
    </row>
    <row r="21" spans="2:2" x14ac:dyDescent="0.35">
      <c r="B21" s="25"/>
    </row>
  </sheetData>
  <sheetProtection sheet="1" objects="1" scenarios="1"/>
  <protectedRanges>
    <protectedRange sqref="B6:B8" name="Range1"/>
  </protectedRanges>
  <mergeCells count="3">
    <mergeCell ref="A10:C10"/>
    <mergeCell ref="A3:C3"/>
    <mergeCell ref="A1:E1"/>
  </mergeCells>
  <dataValidations count="2">
    <dataValidation type="whole" allowBlank="1" showInputMessage="1" showErrorMessage="1" sqref="B6" xr:uid="{00000000-0002-0000-0100-000000000000}">
      <formula1>1</formula1>
      <formula2>999</formula2>
    </dataValidation>
    <dataValidation type="decimal" allowBlank="1" showInputMessage="1" showErrorMessage="1" sqref="B8" xr:uid="{00000000-0002-0000-0100-000001000000}">
      <formula1>15</formula1>
      <formula2>B7*0.99</formula2>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6E838"/>
  </sheetPr>
  <dimension ref="A1:N22"/>
  <sheetViews>
    <sheetView zoomScale="70" zoomScaleNormal="70" workbookViewId="0">
      <selection activeCell="B7" sqref="B7"/>
    </sheetView>
  </sheetViews>
  <sheetFormatPr defaultRowHeight="14.5" x14ac:dyDescent="0.35"/>
  <cols>
    <col min="1" max="1" width="52.7265625" style="19" customWidth="1"/>
    <col min="2" max="2" width="47.54296875" style="25" customWidth="1"/>
    <col min="3" max="3" width="24.7265625" style="19" customWidth="1"/>
    <col min="4" max="4" width="67.1796875" style="19" customWidth="1"/>
    <col min="5" max="5" width="22.6328125" style="19" bestFit="1" customWidth="1"/>
    <col min="6" max="6" width="15.453125" style="19" customWidth="1"/>
    <col min="7" max="7" width="12.54296875" style="19" customWidth="1"/>
    <col min="8" max="8" width="8" style="19" customWidth="1"/>
    <col min="9" max="9" width="6.54296875" style="19" customWidth="1"/>
    <col min="10" max="10" width="8.26953125" style="19" customWidth="1"/>
    <col min="11" max="11" width="8.7265625" style="19"/>
    <col min="12" max="12" width="15.54296875" style="19" bestFit="1" customWidth="1"/>
    <col min="13" max="16384" width="8.7265625" style="19"/>
  </cols>
  <sheetData>
    <row r="1" spans="1:14" ht="30" customHeight="1" x14ac:dyDescent="0.35">
      <c r="A1" s="148" t="s">
        <v>300</v>
      </c>
      <c r="B1" s="149"/>
      <c r="C1" s="149"/>
      <c r="D1" s="136"/>
      <c r="E1" s="137"/>
      <c r="F1" s="21"/>
    </row>
    <row r="2" spans="1:14" ht="30" customHeight="1" thickBot="1" x14ac:dyDescent="0.4">
      <c r="A2" s="26"/>
      <c r="B2" s="26"/>
      <c r="C2" s="29"/>
      <c r="D2" s="158"/>
      <c r="E2" s="158"/>
      <c r="G2" s="20"/>
    </row>
    <row r="3" spans="1:14" ht="43" customHeight="1" thickTop="1" thickBot="1" x14ac:dyDescent="0.4">
      <c r="A3" s="26"/>
      <c r="B3" s="138" t="s">
        <v>288</v>
      </c>
      <c r="C3" s="29"/>
      <c r="D3" s="150" t="s">
        <v>285</v>
      </c>
      <c r="E3" s="151"/>
      <c r="F3" s="152"/>
      <c r="G3" s="20"/>
    </row>
    <row r="4" spans="1:14" ht="27.5" customHeight="1" thickBot="1" x14ac:dyDescent="0.4">
      <c r="A4" s="124" t="s">
        <v>274</v>
      </c>
      <c r="B4" s="111" t="s">
        <v>275</v>
      </c>
      <c r="C4" s="28"/>
      <c r="D4" s="40" t="s">
        <v>280</v>
      </c>
      <c r="E4" s="153" t="s">
        <v>24</v>
      </c>
      <c r="F4" s="154"/>
      <c r="G4" s="20"/>
    </row>
    <row r="5" spans="1:14" ht="30" customHeight="1" x14ac:dyDescent="0.35">
      <c r="A5" s="133" t="str">
        <f>IF('questions&amp;ValidAnswers'!B28 &lt;&gt;"", 'questions&amp;ValidAnswers'!B28, "")</f>
        <v>4. Is it legal to access areas not on the RAP?</v>
      </c>
      <c r="B5" s="106" t="s">
        <v>1</v>
      </c>
      <c r="C5" s="28"/>
      <c r="D5" s="41" t="s">
        <v>163</v>
      </c>
      <c r="E5" s="42">
        <f>IF(B5="Yes", IF(B6="Yes", IF(LEFT(B7,3)="Yes", N8, 0),0),0)</f>
        <v>0</v>
      </c>
      <c r="F5" s="43" t="s">
        <v>111</v>
      </c>
      <c r="G5" s="20"/>
      <c r="M5" s="24" t="s">
        <v>165</v>
      </c>
      <c r="N5" s="24">
        <f>'User Interface-Project setup'!B6</f>
        <v>80</v>
      </c>
    </row>
    <row r="6" spans="1:14" ht="25.5" customHeight="1" x14ac:dyDescent="0.35">
      <c r="A6" s="134" t="str">
        <f>IF('questions&amp;ValidAnswers'!B29 &lt;&gt;"", 'questions&amp;ValidAnswers'!B29, "")</f>
        <v>5. Is it safe to access areas not on the RAP?</v>
      </c>
      <c r="B6" s="107" t="s">
        <v>1</v>
      </c>
      <c r="C6" s="28"/>
      <c r="D6" s="41" t="s">
        <v>164</v>
      </c>
      <c r="E6" s="42">
        <f>('User Interface-Project setup'!B7+'User Interface-Project setup'!B8)/2</f>
        <v>70</v>
      </c>
      <c r="F6" s="43" t="s">
        <v>112</v>
      </c>
      <c r="G6" s="20"/>
      <c r="M6" s="24" t="s">
        <v>176</v>
      </c>
      <c r="N6" s="24">
        <f>0.75*N5</f>
        <v>60</v>
      </c>
    </row>
    <row r="7" spans="1:14" ht="38.5" customHeight="1" thickBot="1" x14ac:dyDescent="0.4">
      <c r="A7" s="135" t="str">
        <f>IF('questions&amp;ValidAnswers'!B30 &lt;&gt;"", 'questions&amp;ValidAnswers'!B30, "")</f>
        <v>6. Is the vegetation beyond the RAP conducive to searching?</v>
      </c>
      <c r="B7" s="108" t="s">
        <v>265</v>
      </c>
      <c r="C7" s="28"/>
      <c r="D7" s="41" t="s">
        <v>182</v>
      </c>
      <c r="E7" s="42" t="s">
        <v>229</v>
      </c>
      <c r="F7" s="43" t="s">
        <v>112</v>
      </c>
      <c r="G7" s="20"/>
      <c r="M7" s="24" t="s">
        <v>177</v>
      </c>
      <c r="N7" s="24">
        <f>0.5*N5</f>
        <v>40</v>
      </c>
    </row>
    <row r="8" spans="1:14" ht="18.5" x14ac:dyDescent="0.35">
      <c r="A8" s="22"/>
      <c r="B8" s="27"/>
      <c r="C8" s="29"/>
      <c r="D8" s="41" t="s">
        <v>237</v>
      </c>
      <c r="E8" s="42">
        <f>('User Interface-Project setup'!B7+'User Interface-Project setup'!B8)</f>
        <v>140</v>
      </c>
      <c r="F8" s="43" t="s">
        <v>112</v>
      </c>
      <c r="G8" s="20"/>
      <c r="M8" s="24" t="s">
        <v>166</v>
      </c>
      <c r="N8" s="24">
        <f>ROUND(IF(N5&lt;51,N5,IF(N5&lt;101, MAX(50, 0.75*N5), IF(N5&gt;100, MAX(75, 0.5*N5)))),0)</f>
        <v>60</v>
      </c>
    </row>
    <row r="9" spans="1:14" ht="23.25" customHeight="1" x14ac:dyDescent="0.35">
      <c r="C9" s="29"/>
      <c r="D9" s="41" t="s">
        <v>236</v>
      </c>
      <c r="E9" s="42">
        <v>7</v>
      </c>
      <c r="F9" s="43" t="s">
        <v>114</v>
      </c>
      <c r="G9" s="20"/>
    </row>
    <row r="10" spans="1:14" ht="18.5" x14ac:dyDescent="0.35">
      <c r="C10" s="29"/>
      <c r="D10" s="41" t="s">
        <v>55</v>
      </c>
      <c r="E10" s="42">
        <v>12</v>
      </c>
      <c r="F10" s="43" t="s">
        <v>115</v>
      </c>
      <c r="G10" s="20"/>
    </row>
    <row r="11" spans="1:14" ht="43.5" customHeight="1" thickBot="1" x14ac:dyDescent="0.4">
      <c r="C11" s="29"/>
      <c r="D11" s="44" t="s">
        <v>57</v>
      </c>
      <c r="E11" s="45">
        <v>12</v>
      </c>
      <c r="F11" s="46" t="s">
        <v>115</v>
      </c>
      <c r="G11" s="20"/>
    </row>
    <row r="12" spans="1:14" ht="15" thickTop="1" x14ac:dyDescent="0.35">
      <c r="D12" s="22"/>
      <c r="E12" s="22"/>
      <c r="F12" s="22"/>
    </row>
    <row r="13" spans="1:14" ht="134" customHeight="1" x14ac:dyDescent="0.35">
      <c r="D13" s="159" t="s">
        <v>296</v>
      </c>
      <c r="E13" s="159"/>
      <c r="F13" s="159"/>
    </row>
    <row r="14" spans="1:14" x14ac:dyDescent="0.35">
      <c r="D14" s="160"/>
      <c r="E14" s="160"/>
      <c r="F14" s="160"/>
    </row>
    <row r="15" spans="1:14" ht="17" customHeight="1" x14ac:dyDescent="0.35"/>
    <row r="16" spans="1:14" ht="14.5" customHeight="1" x14ac:dyDescent="0.35"/>
    <row r="17" spans="1:6" ht="26.5" customHeight="1" x14ac:dyDescent="0.35">
      <c r="A17" s="155" t="s">
        <v>276</v>
      </c>
      <c r="B17" s="156"/>
      <c r="C17" s="156"/>
      <c r="D17" s="156"/>
      <c r="E17" s="156"/>
      <c r="F17" s="157"/>
    </row>
    <row r="18" spans="1:6" ht="15" customHeight="1" x14ac:dyDescent="0.35"/>
    <row r="22" spans="1:6" x14ac:dyDescent="0.35">
      <c r="A22" s="31"/>
    </row>
  </sheetData>
  <sheetProtection sheet="1" objects="1" scenarios="1"/>
  <protectedRanges>
    <protectedRange sqref="B5:B7" name="Range1"/>
  </protectedRanges>
  <mergeCells count="7">
    <mergeCell ref="A1:C1"/>
    <mergeCell ref="D3:F3"/>
    <mergeCell ref="E4:F4"/>
    <mergeCell ref="A17:F17"/>
    <mergeCell ref="D2:E2"/>
    <mergeCell ref="D13:F13"/>
    <mergeCell ref="D14:F14"/>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'questions&amp;ValidAnswers'!$C$30:$D$30</xm:f>
          </x14:formula1>
          <xm:sqref>B7</xm:sqref>
        </x14:dataValidation>
        <x14:dataValidation type="list" allowBlank="1" showInputMessage="1" showErrorMessage="1" xr:uid="{00000000-0002-0000-0200-000001000000}">
          <x14:formula1>
            <xm:f>'questions&amp;ValidAnswers'!$C$29:$D$29</xm:f>
          </x14:formula1>
          <xm:sqref>B6</xm:sqref>
        </x14:dataValidation>
        <x14:dataValidation type="list" allowBlank="1" showInputMessage="1" showErrorMessage="1" xr:uid="{00000000-0002-0000-0200-000002000000}">
          <x14:formula1>
            <xm:f>'questions&amp;ValidAnswers'!$C$28:$D$28</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499984740745262"/>
  </sheetPr>
  <dimension ref="A1:H39"/>
  <sheetViews>
    <sheetView topLeftCell="A14" zoomScale="76" zoomScaleNormal="60" workbookViewId="0">
      <selection activeCell="B14" sqref="B14"/>
    </sheetView>
  </sheetViews>
  <sheetFormatPr defaultRowHeight="14.5" x14ac:dyDescent="0.35"/>
  <cols>
    <col min="1" max="1" width="77.81640625" style="19" customWidth="1"/>
    <col min="2" max="2" width="56.54296875" style="25" customWidth="1"/>
    <col min="3" max="3" width="24" style="19" customWidth="1"/>
    <col min="4" max="4" width="7.26953125" style="19" customWidth="1"/>
    <col min="5" max="5" width="38.1796875" style="19" customWidth="1"/>
    <col min="6" max="6" width="19.81640625" style="19" customWidth="1"/>
    <col min="7" max="7" width="15.36328125" style="19" customWidth="1"/>
    <col min="8" max="8" width="12.54296875" style="19" customWidth="1"/>
    <col min="9" max="9" width="8" style="19" customWidth="1"/>
    <col min="10" max="10" width="6.54296875" style="19" customWidth="1"/>
    <col min="11" max="11" width="8.26953125" style="19" customWidth="1"/>
    <col min="12" max="12" width="8.7265625" style="19"/>
    <col min="13" max="13" width="15.54296875" style="19" bestFit="1" customWidth="1"/>
    <col min="14" max="16384" width="8.7265625" style="19"/>
  </cols>
  <sheetData>
    <row r="1" spans="1:8" ht="49" customHeight="1" x14ac:dyDescent="0.35">
      <c r="A1" s="161" t="s">
        <v>299</v>
      </c>
      <c r="B1" s="162"/>
      <c r="C1" s="163"/>
      <c r="F1" s="23"/>
    </row>
    <row r="2" spans="1:8" ht="30" customHeight="1" x14ac:dyDescent="0.35">
      <c r="A2" s="23"/>
      <c r="B2" s="23"/>
      <c r="C2" s="23"/>
      <c r="E2" s="26"/>
      <c r="F2" s="26"/>
      <c r="G2" s="21"/>
    </row>
    <row r="3" spans="1:8" ht="30" customHeight="1" x14ac:dyDescent="0.35">
      <c r="A3" s="176" t="s">
        <v>287</v>
      </c>
      <c r="B3" s="32" t="s">
        <v>277</v>
      </c>
      <c r="C3" s="23"/>
      <c r="E3" s="26"/>
      <c r="F3" s="26"/>
      <c r="G3" s="21"/>
    </row>
    <row r="4" spans="1:8" ht="55" customHeight="1" thickBot="1" x14ac:dyDescent="0.4">
      <c r="A4" s="177"/>
      <c r="B4" s="58" t="s">
        <v>288</v>
      </c>
      <c r="E4" s="21"/>
      <c r="F4" s="21"/>
      <c r="G4" s="21"/>
    </row>
    <row r="5" spans="1:8" ht="24" thickTop="1" x14ac:dyDescent="0.35">
      <c r="B5" s="19"/>
      <c r="D5" s="29"/>
      <c r="E5" s="173" t="s">
        <v>284</v>
      </c>
      <c r="F5" s="174"/>
      <c r="G5" s="175"/>
      <c r="H5" s="20"/>
    </row>
    <row r="6" spans="1:8" ht="21.5" thickBot="1" x14ac:dyDescent="0.4">
      <c r="A6" s="21"/>
      <c r="B6" s="21"/>
      <c r="C6" s="21"/>
      <c r="D6" s="29"/>
      <c r="E6" s="37" t="s">
        <v>280</v>
      </c>
      <c r="F6" s="178" t="s">
        <v>24</v>
      </c>
      <c r="G6" s="179"/>
      <c r="H6" s="20"/>
    </row>
    <row r="7" spans="1:8" ht="43.5" customHeight="1" thickBot="1" x14ac:dyDescent="0.4">
      <c r="A7" s="124" t="s">
        <v>278</v>
      </c>
      <c r="B7" s="125" t="s">
        <v>275</v>
      </c>
      <c r="C7" s="126" t="s">
        <v>279</v>
      </c>
      <c r="D7" s="28"/>
      <c r="E7" s="47" t="s">
        <v>167</v>
      </c>
      <c r="F7" s="42">
        <f>CEILING('User Interface-Project setup'!B6*'Search type evaluation'!D39,1)</f>
        <v>56</v>
      </c>
      <c r="G7" s="48" t="s">
        <v>267</v>
      </c>
      <c r="H7" s="20"/>
    </row>
    <row r="8" spans="1:8" ht="18.5" x14ac:dyDescent="0.35">
      <c r="A8" s="121" t="str">
        <f>IF('questions&amp;ValidAnswers'!B8 &lt;&gt;"", 'questions&amp;ValidAnswers'!B8, "")</f>
        <v>1. How large are the turbine pads (average square m)?</v>
      </c>
      <c r="B8" s="118">
        <v>300</v>
      </c>
      <c r="C8" s="113" t="s">
        <v>113</v>
      </c>
      <c r="D8" s="28"/>
      <c r="E8" s="47" t="s">
        <v>36</v>
      </c>
      <c r="F8" s="42" t="str">
        <f>IF('Search type evaluation'!B39=1, "Circular full plots", "RAP****")</f>
        <v>Circular full plots</v>
      </c>
      <c r="G8" s="48"/>
      <c r="H8" s="20"/>
    </row>
    <row r="9" spans="1:8" ht="43.5" x14ac:dyDescent="0.35">
      <c r="A9" s="122" t="str">
        <f>IF('questions&amp;ValidAnswers'!B9 &lt;&gt;"", 'questions&amp;ValidAnswers'!B9, "")</f>
        <v>2. Do first year fatality data indicate that the annual turbine fatality rate for large birds (over 55 cm) at the project is likely to be a concern* or do monitoring objectives for the project focus on large birds for some other reason?</v>
      </c>
      <c r="B9" s="119" t="s">
        <v>1</v>
      </c>
      <c r="C9" s="114" t="s">
        <v>48</v>
      </c>
      <c r="D9" s="28"/>
      <c r="E9" s="47" t="s">
        <v>60</v>
      </c>
      <c r="F9" s="42">
        <f>'Search type evaluation'!E39</f>
        <v>80</v>
      </c>
      <c r="G9" s="48" t="s">
        <v>94</v>
      </c>
      <c r="H9" s="20"/>
    </row>
    <row r="10" spans="1:8" ht="43.5" x14ac:dyDescent="0.35">
      <c r="A10" s="122" t="str">
        <f>IF('questions&amp;ValidAnswers'!B10 &lt;&gt;"", 'questions&amp;ValidAnswers'!B10, "")</f>
        <v>3.Do first year fatality data indicate that the annual turbine fatality rate for medium birds (30 - 55 cm) at the project is likely to be a concern* or do monitoring objectives for the project focus on medium birds for some other reason?</v>
      </c>
      <c r="B10" s="119" t="s">
        <v>2</v>
      </c>
      <c r="C10" s="114" t="s">
        <v>47</v>
      </c>
      <c r="D10" s="28"/>
      <c r="E10" s="47" t="s">
        <v>93</v>
      </c>
      <c r="F10" s="42">
        <f>'Transect width &amp; Search radius'!A31</f>
        <v>10</v>
      </c>
      <c r="G10" s="48" t="s">
        <v>94</v>
      </c>
      <c r="H10" s="20"/>
    </row>
    <row r="11" spans="1:8" ht="43.5" x14ac:dyDescent="0.35">
      <c r="A11" s="122" t="str">
        <f>IF('questions&amp;ValidAnswers'!B11 &lt;&gt;"", 'questions&amp;ValidAnswers'!B11, "")</f>
        <v>4. Do first year fatality data indicate that the annual turbine fatality rate for small birds (&lt; 30 cm) at the project is likely to be a concern* or do monitoring objectives for the project focus on small birds for some other reason?</v>
      </c>
      <c r="B11" s="119" t="s">
        <v>2</v>
      </c>
      <c r="C11" s="114" t="s">
        <v>44</v>
      </c>
      <c r="D11" s="28"/>
      <c r="E11" s="47" t="s">
        <v>236</v>
      </c>
      <c r="F11" s="42">
        <f>'Search interval'!A38</f>
        <v>21</v>
      </c>
      <c r="G11" s="48" t="s">
        <v>268</v>
      </c>
      <c r="H11" s="20"/>
    </row>
    <row r="12" spans="1:8" ht="43.5" customHeight="1" x14ac:dyDescent="0.35">
      <c r="A12" s="122" t="str">
        <f>IF('questions&amp;ValidAnswers'!B12 &lt;&gt;"", 'questions&amp;ValidAnswers'!B12, "")</f>
        <v>5. Do first year fatality data indicate that the annual turbine fatality rate for bats** at the project is likely to be a concern* or do monitoring objectives for the project focus on bats for some other reason?</v>
      </c>
      <c r="B12" s="119" t="s">
        <v>2</v>
      </c>
      <c r="C12" s="114" t="s">
        <v>43</v>
      </c>
      <c r="D12" s="28"/>
      <c r="E12" s="47" t="s">
        <v>55</v>
      </c>
      <c r="F12" s="42">
        <v>12</v>
      </c>
      <c r="G12" s="49" t="s">
        <v>270</v>
      </c>
      <c r="H12" s="20"/>
    </row>
    <row r="13" spans="1:8" ht="37.5" thickBot="1" x14ac:dyDescent="0.4">
      <c r="A13" s="122" t="str">
        <f>IF('questions&amp;ValidAnswers'!B13 &lt;&gt;"", 'questions&amp;ValidAnswers'!B13, "")</f>
        <v>6. Is it legal to access areas not on the RAP****?</v>
      </c>
      <c r="B13" s="119" t="s">
        <v>1</v>
      </c>
      <c r="C13" s="115"/>
      <c r="D13" s="28"/>
      <c r="E13" s="50" t="s">
        <v>233</v>
      </c>
      <c r="F13" s="51">
        <v>12</v>
      </c>
      <c r="G13" s="52" t="s">
        <v>269</v>
      </c>
      <c r="H13" s="20"/>
    </row>
    <row r="14" spans="1:8" ht="30" thickTop="1" thickBot="1" x14ac:dyDescent="0.4">
      <c r="A14" s="122" t="str">
        <f>IF('questions&amp;ValidAnswers'!B14 &lt;&gt;"", 'questions&amp;ValidAnswers'!B14, "")</f>
        <v>7. Considering the easiest to search areas, how difficult will it be to search for carcasses?</v>
      </c>
      <c r="B14" s="119" t="s">
        <v>148</v>
      </c>
      <c r="C14" s="115"/>
      <c r="D14" s="20"/>
      <c r="E14" s="35"/>
      <c r="F14" s="35"/>
      <c r="G14" s="35"/>
    </row>
    <row r="15" spans="1:8" ht="29" customHeight="1" thickTop="1" x14ac:dyDescent="0.35">
      <c r="A15" s="122" t="str">
        <f>IF('questions&amp;ValidAnswers'!B15 &lt;&gt;"", 'questions&amp;ValidAnswers'!B15, "")</f>
        <v>8. Considering the most difficult to search areas, how difficult will it be to search for carcasses?</v>
      </c>
      <c r="B15" s="119" t="s">
        <v>148</v>
      </c>
      <c r="C15" s="115"/>
      <c r="D15" s="28"/>
      <c r="E15" s="167" t="s">
        <v>289</v>
      </c>
      <c r="F15" s="168"/>
      <c r="G15" s="169"/>
      <c r="H15" s="20"/>
    </row>
    <row r="16" spans="1:8" ht="68.5" customHeight="1" x14ac:dyDescent="0.35">
      <c r="A16" s="122" t="str">
        <f>IF('questions&amp;ValidAnswers'!B16 &lt;&gt;"", 'questions&amp;ValidAnswers'!B16, "")</f>
        <v>9. How difficult is it to walk transects off the RAP****?</v>
      </c>
      <c r="B16" s="119" t="s">
        <v>262</v>
      </c>
      <c r="C16" s="116"/>
      <c r="D16" s="28"/>
      <c r="E16" s="170"/>
      <c r="F16" s="171"/>
      <c r="G16" s="172"/>
      <c r="H16" s="20"/>
    </row>
    <row r="17" spans="1:8" ht="42.5" customHeight="1" x14ac:dyDescent="0.35">
      <c r="A17" s="122" t="str">
        <f>IF('questions&amp;ValidAnswers'!B17 &lt;&gt;"", 'questions&amp;ValidAnswers'!B17, "")</f>
        <v>10. Is it safe to search off the RAP****?</v>
      </c>
      <c r="B17" s="119" t="s">
        <v>1</v>
      </c>
      <c r="C17" s="116"/>
      <c r="D17" s="28"/>
      <c r="E17" s="38" t="s">
        <v>281</v>
      </c>
      <c r="F17" s="36" t="s">
        <v>282</v>
      </c>
      <c r="G17" s="39" t="s">
        <v>283</v>
      </c>
      <c r="H17" s="20"/>
    </row>
    <row r="18" spans="1:8" ht="43.5" x14ac:dyDescent="0.35">
      <c r="A18" s="122" t="str">
        <f>IF('questions&amp;ValidAnswers'!B18 &lt;&gt;"", 'questions&amp;ValidAnswers'!B18, "")</f>
        <v>11. Based on carcass persistence data from the project area or from a comparable wind project in the immediate vicinity***, what is the likely median removal time (days) of a large bird?</v>
      </c>
      <c r="B18" s="119" t="s">
        <v>266</v>
      </c>
      <c r="C18" s="116" t="s">
        <v>48</v>
      </c>
      <c r="D18" s="28"/>
      <c r="E18" s="47" t="s">
        <v>234</v>
      </c>
      <c r="F18" s="53">
        <f>MIN('Search type evaluation'!A49:D49)</f>
        <v>0.33896123761904862</v>
      </c>
      <c r="G18" s="54" t="str">
        <f>IF(F18&lt;0.15, "DPI is relatively low.  Consider taking measures to increase searcher efficiency, reducing search intervals or increasing plot sizes.  If a RAP**** plot is the only possibility, it might not be possible to increase the DPI appreciably.", "")</f>
        <v/>
      </c>
      <c r="H18" s="20"/>
    </row>
    <row r="19" spans="1:8" ht="43.5" x14ac:dyDescent="0.35">
      <c r="A19" s="122" t="str">
        <f>IF('questions&amp;ValidAnswers'!B19 &lt;&gt;"", 'questions&amp;ValidAnswers'!B19, "")</f>
        <v>12. Based on carcass persistence data from the project area or from a comparable wind project in the immediate vicinity***, what is the likely median removal time (days) of a medium bird?</v>
      </c>
      <c r="B19" s="119" t="s">
        <v>158</v>
      </c>
      <c r="C19" s="116" t="s">
        <v>47</v>
      </c>
      <c r="D19" s="28"/>
      <c r="E19" s="47" t="s">
        <v>119</v>
      </c>
      <c r="F19" s="53">
        <f>'Search type evaluation'!D43</f>
        <v>0.33896123761904862</v>
      </c>
      <c r="G19" s="55" t="str">
        <f>IF('Search type evaluation'!D3 =1, "Included in whole-facility DPI", "")</f>
        <v>Included in whole-facility DPI</v>
      </c>
      <c r="H19" s="20"/>
    </row>
    <row r="20" spans="1:8" ht="43.5" x14ac:dyDescent="0.35">
      <c r="A20" s="122" t="str">
        <f>IF('questions&amp;ValidAnswers'!B20 &lt;&gt;"", 'questions&amp;ValidAnswers'!B20, "")</f>
        <v>13. Based on carcass persistence data from the project area or from a comparable wind project in the immediate vicinity***, what is the likely median removal time (days) of a small bird?</v>
      </c>
      <c r="B20" s="119" t="s">
        <v>159</v>
      </c>
      <c r="C20" s="116" t="s">
        <v>44</v>
      </c>
      <c r="D20" s="28"/>
      <c r="E20" s="47" t="s">
        <v>118</v>
      </c>
      <c r="F20" s="53">
        <f>'Search type evaluation'!C43</f>
        <v>0.14863015866595297</v>
      </c>
      <c r="G20" s="55" t="str">
        <f>IF('Search type evaluation'!C3 =1, "Included in whole-facility DPI", "")</f>
        <v/>
      </c>
      <c r="H20" s="20"/>
    </row>
    <row r="21" spans="1:8" ht="44" thickBot="1" x14ac:dyDescent="0.4">
      <c r="A21" s="123" t="str">
        <f>IF('questions&amp;ValidAnswers'!B21 &lt;&gt;"", 'questions&amp;ValidAnswers'!B21, "")</f>
        <v>14. Based on on carcass persistence data from the project area or from a comparable wind project in the immediate vicinity***, what is the likely median removal time (days) of a bat?</v>
      </c>
      <c r="B21" s="120" t="s">
        <v>160</v>
      </c>
      <c r="C21" s="117" t="s">
        <v>43</v>
      </c>
      <c r="D21" s="28"/>
      <c r="E21" s="47" t="s">
        <v>117</v>
      </c>
      <c r="F21" s="53">
        <f>'Search type evaluation'!B43</f>
        <v>6.4338882682305018E-2</v>
      </c>
      <c r="G21" s="55" t="str">
        <f>IF('Search type evaluation'!B3 =1, "Included in whole-facility DPI", "")</f>
        <v/>
      </c>
      <c r="H21" s="20"/>
    </row>
    <row r="22" spans="1:8" ht="57.5" customHeight="1" thickBot="1" x14ac:dyDescent="0.4">
      <c r="A22" s="33" t="str">
        <f>IF('questions&amp;ValidAnswers'!B22 &lt;&gt;"", 'questions&amp;ValidAnswers'!B22, "")</f>
        <v/>
      </c>
      <c r="B22" s="27"/>
      <c r="C22" s="34"/>
      <c r="D22" s="28"/>
      <c r="E22" s="50" t="s">
        <v>116</v>
      </c>
      <c r="F22" s="56">
        <f>'Search type evaluation'!A43</f>
        <v>4.6391375244615542E-2</v>
      </c>
      <c r="G22" s="57" t="str">
        <f>IF('Search type evaluation'!A3 =1, "Included in whole-facility DPI", "")</f>
        <v/>
      </c>
      <c r="H22" s="20"/>
    </row>
    <row r="23" spans="1:8" ht="15" thickTop="1" x14ac:dyDescent="0.35">
      <c r="A23" s="22"/>
      <c r="B23" s="27"/>
      <c r="C23" s="22"/>
      <c r="E23" s="22"/>
      <c r="F23" s="22"/>
      <c r="G23" s="22"/>
    </row>
    <row r="24" spans="1:8" ht="207" customHeight="1" x14ac:dyDescent="0.35">
      <c r="A24" s="164" t="s">
        <v>301</v>
      </c>
      <c r="B24" s="165"/>
      <c r="C24" s="166"/>
    </row>
    <row r="26" spans="1:8" x14ac:dyDescent="0.35">
      <c r="A26" s="25"/>
    </row>
    <row r="27" spans="1:8" ht="31.5" customHeight="1" x14ac:dyDescent="0.35">
      <c r="A27" s="155" t="s">
        <v>276</v>
      </c>
      <c r="B27" s="156"/>
      <c r="C27" s="156"/>
      <c r="D27" s="156"/>
      <c r="E27" s="156"/>
      <c r="F27" s="156"/>
      <c r="G27" s="157"/>
    </row>
    <row r="28" spans="1:8" x14ac:dyDescent="0.35">
      <c r="A28" s="25"/>
    </row>
    <row r="30" spans="1:8" x14ac:dyDescent="0.35">
      <c r="B30" s="19"/>
    </row>
    <row r="39" spans="3:3" x14ac:dyDescent="0.35">
      <c r="C39" s="30"/>
    </row>
  </sheetData>
  <sheetProtection sheet="1" objects="1" scenarios="1"/>
  <protectedRanges>
    <protectedRange sqref="B8:B21" name="Range1"/>
  </protectedRanges>
  <mergeCells count="7">
    <mergeCell ref="A1:C1"/>
    <mergeCell ref="A24:C24"/>
    <mergeCell ref="A27:G27"/>
    <mergeCell ref="E15:G16"/>
    <mergeCell ref="E5:G5"/>
    <mergeCell ref="A3:A4"/>
    <mergeCell ref="F6:G6"/>
  </mergeCells>
  <conditionalFormatting sqref="F18">
    <cfRule type="cellIs" dxfId="2" priority="1" operator="lessThan">
      <formula>0.15</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'questions&amp;ValidAnswers'!$C$13:$D$13</xm:f>
          </x14:formula1>
          <xm:sqref>B13</xm:sqref>
        </x14:dataValidation>
        <x14:dataValidation type="list" allowBlank="1" showInputMessage="1" showErrorMessage="1" xr:uid="{00000000-0002-0000-0300-000001000000}">
          <x14:formula1>
            <xm:f>'questions&amp;ValidAnswers'!$D$21:$K$21</xm:f>
          </x14:formula1>
          <xm:sqref>B21</xm:sqref>
        </x14:dataValidation>
        <x14:dataValidation type="list" allowBlank="1" showInputMessage="1" showErrorMessage="1" xr:uid="{00000000-0002-0000-0300-000002000000}">
          <x14:formula1>
            <xm:f>'questions&amp;ValidAnswers'!$C$14:$F$14</xm:f>
          </x14:formula1>
          <xm:sqref>B14</xm:sqref>
        </x14:dataValidation>
        <x14:dataValidation type="list" allowBlank="1" showInputMessage="1" showErrorMessage="1" xr:uid="{00000000-0002-0000-0300-000003000000}">
          <x14:formula1>
            <xm:f>'questions&amp;ValidAnswers'!$C$15:$F$15</xm:f>
          </x14:formula1>
          <xm:sqref>B15</xm:sqref>
        </x14:dataValidation>
        <x14:dataValidation type="list" allowBlank="1" showInputMessage="1" showErrorMessage="1" xr:uid="{00000000-0002-0000-0300-000004000000}">
          <x14:formula1>
            <xm:f>'questions&amp;ValidAnswers'!$C$16:$F$16</xm:f>
          </x14:formula1>
          <xm:sqref>B16</xm:sqref>
        </x14:dataValidation>
        <x14:dataValidation type="list" allowBlank="1" showInputMessage="1" showErrorMessage="1" xr:uid="{00000000-0002-0000-0300-000005000000}">
          <x14:formula1>
            <xm:f>'questions&amp;ValidAnswers'!$C$17:$D$17</xm:f>
          </x14:formula1>
          <xm:sqref>B17</xm:sqref>
        </x14:dataValidation>
        <x14:dataValidation type="list" allowBlank="1" showInputMessage="1" showErrorMessage="1" xr:uid="{00000000-0002-0000-0300-000006000000}">
          <x14:formula1>
            <xm:f>'questions&amp;ValidAnswers'!$D$18:$K$18</xm:f>
          </x14:formula1>
          <xm:sqref>B18</xm:sqref>
        </x14:dataValidation>
        <x14:dataValidation type="list" allowBlank="1" showInputMessage="1" showErrorMessage="1" xr:uid="{00000000-0002-0000-0300-000007000000}">
          <x14:formula1>
            <xm:f>'questions&amp;ValidAnswers'!$D$19:$K$19</xm:f>
          </x14:formula1>
          <xm:sqref>B19</xm:sqref>
        </x14:dataValidation>
        <x14:dataValidation type="list" allowBlank="1" showInputMessage="1" showErrorMessage="1" xr:uid="{00000000-0002-0000-0300-000008000000}">
          <x14:formula1>
            <xm:f>'questions&amp;ValidAnswers'!$D$20:$K$20</xm:f>
          </x14:formula1>
          <xm:sqref>B20</xm:sqref>
        </x14:dataValidation>
        <x14:dataValidation type="list" allowBlank="1" showInputMessage="1" showErrorMessage="1" xr:uid="{00000000-0002-0000-0300-000009000000}">
          <x14:formula1>
            <xm:f>'questions&amp;ValidAnswers'!$C$11:$D$11</xm:f>
          </x14:formula1>
          <xm:sqref>B11</xm:sqref>
        </x14:dataValidation>
        <x14:dataValidation type="list" allowBlank="1" showInputMessage="1" showErrorMessage="1" xr:uid="{00000000-0002-0000-0300-00000A000000}">
          <x14:formula1>
            <xm:f>'questions&amp;ValidAnswers'!$C$12:$D$12</xm:f>
          </x14:formula1>
          <xm:sqref>B12</xm:sqref>
        </x14:dataValidation>
        <x14:dataValidation type="list" allowBlank="1" showInputMessage="1" showErrorMessage="1" xr:uid="{00000000-0002-0000-0300-00000B000000}">
          <x14:formula1>
            <xm:f>'questions&amp;ValidAnswers'!$C$9:$D$9</xm:f>
          </x14:formula1>
          <xm:sqref>B9</xm:sqref>
        </x14:dataValidation>
        <x14:dataValidation type="list" allowBlank="1" showInputMessage="1" showErrorMessage="1" xr:uid="{00000000-0002-0000-0300-00000C000000}">
          <x14:formula1>
            <xm:f>'questions&amp;ValidAnswers'!$C$10:$D$10</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Y35"/>
  <sheetViews>
    <sheetView tabSelected="1" zoomScale="71" zoomScaleNormal="71" workbookViewId="0">
      <selection sqref="A1:D1"/>
    </sheetView>
  </sheetViews>
  <sheetFormatPr defaultRowHeight="14.5" x14ac:dyDescent="0.35"/>
  <cols>
    <col min="1" max="1" width="49.7265625" style="60" bestFit="1" customWidth="1"/>
    <col min="2" max="2" width="28.81640625" style="60" customWidth="1"/>
    <col min="3" max="3" width="33" style="60" customWidth="1"/>
    <col min="4" max="4" width="29.81640625" style="60" customWidth="1"/>
    <col min="5" max="5" width="12.81640625" style="60" customWidth="1"/>
    <col min="6" max="6" width="11.1796875" style="60" customWidth="1"/>
    <col min="7" max="7" width="17.453125" style="60" customWidth="1"/>
    <col min="8" max="16384" width="8.7265625" style="60"/>
  </cols>
  <sheetData>
    <row r="1" spans="1:25" ht="21" x14ac:dyDescent="0.35">
      <c r="A1" s="180" t="s">
        <v>298</v>
      </c>
      <c r="B1" s="181"/>
      <c r="C1" s="181"/>
      <c r="D1" s="182"/>
      <c r="E1" s="24"/>
    </row>
    <row r="3" spans="1:25" ht="83" customHeight="1" x14ac:dyDescent="0.35">
      <c r="A3" s="202" t="s">
        <v>297</v>
      </c>
      <c r="B3" s="203"/>
      <c r="C3" s="203"/>
      <c r="D3" s="203"/>
      <c r="E3" s="204"/>
      <c r="F3" s="59"/>
    </row>
    <row r="4" spans="1:25" ht="24.5" customHeight="1" x14ac:dyDescent="0.35">
      <c r="A4" s="89"/>
      <c r="C4" s="185" t="s">
        <v>295</v>
      </c>
      <c r="D4" s="185"/>
      <c r="F4" s="59"/>
    </row>
    <row r="5" spans="1:25" ht="15" thickBot="1" x14ac:dyDescent="0.4">
      <c r="A5" s="65"/>
      <c r="B5" s="65"/>
      <c r="C5" s="65"/>
      <c r="D5" s="65"/>
      <c r="E5" s="65"/>
    </row>
    <row r="6" spans="1:25" ht="24" thickTop="1" x14ac:dyDescent="0.55000000000000004">
      <c r="A6" s="186" t="s">
        <v>284</v>
      </c>
      <c r="B6" s="187"/>
      <c r="C6" s="77" t="s">
        <v>170</v>
      </c>
      <c r="D6" s="78" t="s">
        <v>171</v>
      </c>
      <c r="E6" s="76" t="s">
        <v>110</v>
      </c>
      <c r="F6" s="74"/>
    </row>
    <row r="7" spans="1:25" ht="21" x14ac:dyDescent="0.5">
      <c r="A7" s="68" t="s">
        <v>105</v>
      </c>
      <c r="B7" s="71" t="s">
        <v>24</v>
      </c>
      <c r="C7" s="90"/>
      <c r="D7" s="91"/>
      <c r="E7" s="92"/>
      <c r="F7" s="74"/>
    </row>
    <row r="8" spans="1:25" ht="18.5" x14ac:dyDescent="0.45">
      <c r="A8" s="69" t="s">
        <v>56</v>
      </c>
      <c r="B8" s="72">
        <f>CEILING('User Interface-Project setup'!B6*'Search type evaluation'!D39,1)</f>
        <v>56</v>
      </c>
      <c r="C8" s="101">
        <v>80</v>
      </c>
      <c r="D8" s="102">
        <v>60</v>
      </c>
      <c r="E8" s="93" t="s">
        <v>111</v>
      </c>
      <c r="F8" s="74"/>
    </row>
    <row r="9" spans="1:25" ht="18.5" x14ac:dyDescent="0.45">
      <c r="A9" s="69" t="s">
        <v>36</v>
      </c>
      <c r="B9" s="72" t="str">
        <f>IF('Search type evaluation'!B39=1, "Circular full plots", "RAP*")</f>
        <v>Circular full plots</v>
      </c>
      <c r="C9" s="98" t="s">
        <v>88</v>
      </c>
      <c r="D9" s="99" t="s">
        <v>88</v>
      </c>
      <c r="E9" s="93"/>
      <c r="F9" s="74"/>
    </row>
    <row r="10" spans="1:25" ht="18.5" x14ac:dyDescent="0.45">
      <c r="A10" s="69" t="s">
        <v>60</v>
      </c>
      <c r="B10" s="72">
        <f>'Search type evaluation'!E39</f>
        <v>80</v>
      </c>
      <c r="C10" s="101">
        <v>160</v>
      </c>
      <c r="D10" s="102">
        <v>140</v>
      </c>
      <c r="E10" s="93" t="s">
        <v>112</v>
      </c>
      <c r="F10" s="74"/>
      <c r="Y10" s="61" t="s">
        <v>235</v>
      </c>
    </row>
    <row r="11" spans="1:25" ht="18.5" x14ac:dyDescent="0.45">
      <c r="A11" s="69" t="s">
        <v>93</v>
      </c>
      <c r="B11" s="72">
        <f>'Transect width &amp; Search radius'!A31</f>
        <v>10</v>
      </c>
      <c r="C11" s="101">
        <v>4</v>
      </c>
      <c r="D11" s="102">
        <v>2</v>
      </c>
      <c r="E11" s="93" t="s">
        <v>112</v>
      </c>
      <c r="F11" s="74"/>
    </row>
    <row r="12" spans="1:25" ht="19" thickBot="1" x14ac:dyDescent="0.5">
      <c r="A12" s="70" t="s">
        <v>236</v>
      </c>
      <c r="B12" s="73">
        <f>'Search interval'!A38</f>
        <v>21</v>
      </c>
      <c r="C12" s="103">
        <v>1</v>
      </c>
      <c r="D12" s="104">
        <v>2</v>
      </c>
      <c r="E12" s="94" t="s">
        <v>114</v>
      </c>
      <c r="F12" s="74"/>
    </row>
    <row r="13" spans="1:25" ht="15" thickTop="1" x14ac:dyDescent="0.35">
      <c r="A13" s="66"/>
      <c r="B13" s="67"/>
      <c r="C13" s="66"/>
      <c r="D13" s="66"/>
      <c r="E13" s="75"/>
    </row>
    <row r="14" spans="1:25" ht="32" customHeight="1" x14ac:dyDescent="0.35">
      <c r="A14" s="202" t="s">
        <v>294</v>
      </c>
      <c r="B14" s="203"/>
      <c r="C14" s="203"/>
      <c r="D14" s="204"/>
      <c r="E14" s="62"/>
    </row>
    <row r="15" spans="1:25" ht="15" customHeight="1" x14ac:dyDescent="0.35">
      <c r="A15" s="62"/>
      <c r="B15" s="62"/>
      <c r="C15" s="62"/>
      <c r="D15" s="62"/>
      <c r="E15" s="62"/>
    </row>
    <row r="16" spans="1:25" ht="15" customHeight="1" thickBot="1" x14ac:dyDescent="0.4">
      <c r="A16" s="79"/>
      <c r="B16" s="80"/>
      <c r="C16" s="84"/>
      <c r="D16" s="84"/>
      <c r="E16" s="62"/>
    </row>
    <row r="17" spans="1:12" ht="61" customHeight="1" thickTop="1" x14ac:dyDescent="0.45">
      <c r="A17" s="197" t="s">
        <v>293</v>
      </c>
      <c r="B17" s="198"/>
      <c r="C17" s="85" t="s">
        <v>290</v>
      </c>
      <c r="D17" s="86" t="s">
        <v>291</v>
      </c>
      <c r="E17" s="83"/>
      <c r="L17" s="105"/>
    </row>
    <row r="18" spans="1:12" ht="15" customHeight="1" x14ac:dyDescent="0.35">
      <c r="A18" s="81" t="s">
        <v>234</v>
      </c>
      <c r="B18" s="87">
        <f>'User Interface-Subsequent Years'!F18</f>
        <v>0.33896123761904862</v>
      </c>
      <c r="C18" s="95">
        <f>MIN('Design explorer evaluation'!B46:E46)</f>
        <v>0.94800383546276934</v>
      </c>
      <c r="D18" s="96">
        <f>MIN('Design explorer evaluation'!B47:E47)</f>
        <v>0.69685946740123439</v>
      </c>
      <c r="E18" s="74"/>
    </row>
    <row r="19" spans="1:12" ht="15" customHeight="1" x14ac:dyDescent="0.35">
      <c r="A19" s="81" t="s">
        <v>119</v>
      </c>
      <c r="B19" s="88">
        <f>'Search type evaluation'!D43</f>
        <v>0.33896123761904862</v>
      </c>
      <c r="C19" s="97">
        <f>'Design explorer evaluation'!E42</f>
        <v>0.94800383546276934</v>
      </c>
      <c r="D19" s="96">
        <f>'Design explorer evaluation'!E43</f>
        <v>0.69685946740123439</v>
      </c>
      <c r="E19" s="74"/>
    </row>
    <row r="20" spans="1:12" ht="15" customHeight="1" x14ac:dyDescent="0.35">
      <c r="A20" s="81" t="s">
        <v>118</v>
      </c>
      <c r="B20" s="88">
        <f>'Search type evaluation'!C43</f>
        <v>0.14863015866595297</v>
      </c>
      <c r="C20" s="97">
        <f>'Design explorer evaluation'!D42</f>
        <v>0.91259061850622403</v>
      </c>
      <c r="D20" s="96">
        <f>'Design explorer evaluation'!D43</f>
        <v>0.65865797836834716</v>
      </c>
      <c r="E20" s="74"/>
    </row>
    <row r="21" spans="1:12" ht="15" customHeight="1" x14ac:dyDescent="0.35">
      <c r="A21" s="81" t="s">
        <v>117</v>
      </c>
      <c r="B21" s="88">
        <f>'Search type evaluation'!B43</f>
        <v>6.4338882682305018E-2</v>
      </c>
      <c r="C21" s="97">
        <f>'Design explorer evaluation'!C42</f>
        <v>0.8258488264849323</v>
      </c>
      <c r="D21" s="96">
        <f>'Design explorer evaluation'!C43</f>
        <v>0.53333314894945349</v>
      </c>
      <c r="E21" s="74"/>
    </row>
    <row r="22" spans="1:12" ht="15" thickBot="1" x14ac:dyDescent="0.4">
      <c r="A22" s="82" t="s">
        <v>116</v>
      </c>
      <c r="B22" s="88">
        <f>'Search type evaluation'!A43</f>
        <v>4.6391375244615542E-2</v>
      </c>
      <c r="C22" s="97">
        <f>'Design explorer evaluation'!B42</f>
        <v>0.73693496849667595</v>
      </c>
      <c r="D22" s="96">
        <f>'Design explorer evaluation'!B43</f>
        <v>0.46621635325521782</v>
      </c>
      <c r="E22" s="74"/>
    </row>
    <row r="23" spans="1:12" ht="15" customHeight="1" thickTop="1" x14ac:dyDescent="0.35">
      <c r="A23" s="199" t="s">
        <v>292</v>
      </c>
      <c r="B23" s="188" t="str">
        <f>IF(B18&lt;0.15,CONCATENATE("DPI is relatively low for recommended design. ", $Y10),"")</f>
        <v/>
      </c>
      <c r="C23" s="191" t="str">
        <f>IF(C18&lt;0.1,CONCATENATE("DPI is relatively low for alternative design 1.",$Y10),"")</f>
        <v/>
      </c>
      <c r="D23" s="194" t="str">
        <f>IF(D18&lt;0.1,CONCATENATE("DPI is relatively low for alternative design 2.", Y10),"")</f>
        <v/>
      </c>
      <c r="E23" s="74"/>
      <c r="F23" s="63"/>
    </row>
    <row r="24" spans="1:12" ht="15" customHeight="1" x14ac:dyDescent="0.35">
      <c r="A24" s="200"/>
      <c r="B24" s="189"/>
      <c r="C24" s="192"/>
      <c r="D24" s="195"/>
      <c r="E24" s="74"/>
    </row>
    <row r="25" spans="1:12" ht="15" customHeight="1" x14ac:dyDescent="0.35">
      <c r="A25" s="200"/>
      <c r="B25" s="189"/>
      <c r="C25" s="192"/>
      <c r="D25" s="195"/>
      <c r="E25" s="74"/>
    </row>
    <row r="26" spans="1:12" ht="14.5" customHeight="1" x14ac:dyDescent="0.35">
      <c r="A26" s="200"/>
      <c r="B26" s="189"/>
      <c r="C26" s="192"/>
      <c r="D26" s="195"/>
      <c r="E26" s="74"/>
    </row>
    <row r="27" spans="1:12" ht="14.5" customHeight="1" x14ac:dyDescent="0.35">
      <c r="A27" s="200"/>
      <c r="B27" s="189"/>
      <c r="C27" s="192"/>
      <c r="D27" s="195"/>
      <c r="E27" s="74"/>
    </row>
    <row r="28" spans="1:12" ht="14.5" customHeight="1" x14ac:dyDescent="0.35">
      <c r="A28" s="200"/>
      <c r="B28" s="189"/>
      <c r="C28" s="192"/>
      <c r="D28" s="195"/>
      <c r="E28" s="74"/>
    </row>
    <row r="29" spans="1:12" ht="14.5" customHeight="1" x14ac:dyDescent="0.35">
      <c r="A29" s="200"/>
      <c r="B29" s="189"/>
      <c r="C29" s="192"/>
      <c r="D29" s="195"/>
      <c r="E29" s="74"/>
    </row>
    <row r="30" spans="1:12" ht="14.5" customHeight="1" x14ac:dyDescent="0.35">
      <c r="A30" s="200"/>
      <c r="B30" s="189"/>
      <c r="C30" s="192"/>
      <c r="D30" s="195"/>
      <c r="E30" s="74"/>
    </row>
    <row r="31" spans="1:12" ht="15" customHeight="1" thickBot="1" x14ac:dyDescent="0.4">
      <c r="A31" s="201"/>
      <c r="B31" s="190"/>
      <c r="C31" s="193"/>
      <c r="D31" s="196"/>
      <c r="E31" s="74"/>
    </row>
    <row r="32" spans="1:12" ht="15" thickTop="1" x14ac:dyDescent="0.35">
      <c r="B32" s="75"/>
      <c r="C32" s="75"/>
      <c r="D32" s="75"/>
    </row>
    <row r="33" spans="1:7" x14ac:dyDescent="0.35">
      <c r="A33" s="60" t="s">
        <v>302</v>
      </c>
    </row>
    <row r="34" spans="1:7" ht="18.5" x14ac:dyDescent="0.35">
      <c r="B34" s="64"/>
    </row>
    <row r="35" spans="1:7" ht="32.5" customHeight="1" x14ac:dyDescent="0.35">
      <c r="A35" s="183" t="s">
        <v>276</v>
      </c>
      <c r="B35" s="184"/>
      <c r="C35" s="184"/>
      <c r="D35" s="184"/>
      <c r="E35" s="184"/>
      <c r="G35" s="100"/>
    </row>
  </sheetData>
  <sheetProtection sheet="1" objects="1" scenarios="1"/>
  <protectedRanges>
    <protectedRange sqref="C8:D12" name="Range1"/>
  </protectedRanges>
  <mergeCells count="11">
    <mergeCell ref="A1:D1"/>
    <mergeCell ref="A35:E35"/>
    <mergeCell ref="C4:D4"/>
    <mergeCell ref="A6:B6"/>
    <mergeCell ref="B23:B31"/>
    <mergeCell ref="C23:C31"/>
    <mergeCell ref="D23:D31"/>
    <mergeCell ref="A17:B17"/>
    <mergeCell ref="A23:A31"/>
    <mergeCell ref="A3:E3"/>
    <mergeCell ref="A14:D14"/>
  </mergeCells>
  <conditionalFormatting sqref="B18:D18">
    <cfRule type="cellIs" dxfId="1" priority="1" operator="lessThan">
      <formula>0.15</formula>
    </cfRule>
  </conditionalFormatting>
  <dataValidations count="1">
    <dataValidation type="whole" allowBlank="1" showInputMessage="1" showErrorMessage="1" sqref="C11:D11" xr:uid="{00000000-0002-0000-0400-000000000000}">
      <formula1>1</formula1>
      <formula2>20</formula2>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7" id="{9D4BAC29-BC51-40BC-B36B-003F6A2484AB}">
            <xm:f>#REF!='Design explorer evaluation'!$C$1</xm:f>
            <x14:dxf>
              <font>
                <color theme="9" tint="0.79998168889431442"/>
              </font>
            </x14:dxf>
          </x14:cfRule>
          <xm:sqref>C10:D10</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1000000}">
          <x14:formula1>
            <xm:f>'exponential persistence'!$C$3:$AR$3</xm:f>
          </x14:formula1>
          <xm:sqref>C12:D12</xm:sqref>
        </x14:dataValidation>
        <x14:dataValidation type="list" allowBlank="1" showInputMessage="1" showErrorMessage="1" xr:uid="{00000000-0002-0000-0400-000002000000}">
          <x14:formula1>
            <xm:f>'Design explorer evaluation'!$B$1:$C$1</xm:f>
          </x14:formula1>
          <xm:sqref>C9:D9</xm:sqref>
        </x14:dataValidation>
        <x14:dataValidation type="whole" operator="lessThanOrEqual" allowBlank="1" showInputMessage="1" showErrorMessage="1" xr:uid="{00000000-0002-0000-0400-000004000000}">
          <x14:formula1>
            <xm:f>'User Interface-Project setup'!B6</xm:f>
          </x14:formula1>
          <xm:sqref>C8</xm:sqref>
        </x14:dataValidation>
        <x14:dataValidation type="whole" operator="lessThanOrEqual" allowBlank="1" showInputMessage="1" showErrorMessage="1" xr:uid="{00000000-0002-0000-0400-000006000000}">
          <x14:formula1>
            <xm:f>'User Interface-Project setup'!B6</xm:f>
          </x14:formula1>
          <xm:sqref>D8</xm:sqref>
        </x14:dataValidation>
        <x14:dataValidation type="whole" allowBlank="1" showInputMessage="1" showErrorMessage="1" xr:uid="{00000000-0002-0000-0400-000003000000}">
          <x14:formula1>
            <xm:f>0</xm:f>
          </x14:formula1>
          <x14:formula2>
            <xm:f>'Carcass density'!B$270</xm:f>
          </x14:formula2>
          <xm:sqref>D10</xm:sqref>
        </x14:dataValidation>
        <x14:dataValidation type="whole" allowBlank="1" showInputMessage="1" showErrorMessage="1" xr:uid="{00000000-0002-0000-0400-000005000000}">
          <x14:formula1>
            <xm:f>5</xm:f>
          </x14:formula1>
          <x14:formula2>
            <xm:f>'Carcass density'!B270</xm:f>
          </x14:formula2>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89"/>
  <sheetViews>
    <sheetView workbookViewId="0"/>
  </sheetViews>
  <sheetFormatPr defaultRowHeight="14.5" x14ac:dyDescent="0.35"/>
  <cols>
    <col min="1" max="1" width="27.54296875" customWidth="1"/>
    <col min="2" max="2" width="25.81640625" bestFit="1" customWidth="1"/>
    <col min="3" max="4" width="31.1796875" bestFit="1" customWidth="1"/>
    <col min="5" max="5" width="14.1796875" bestFit="1" customWidth="1"/>
    <col min="6" max="6" width="12.7265625" bestFit="1" customWidth="1"/>
    <col min="7" max="7" width="18.1796875" customWidth="1"/>
    <col min="8" max="8" width="16.453125" bestFit="1" customWidth="1"/>
    <col min="9" max="9" width="16.7265625" bestFit="1" customWidth="1"/>
  </cols>
  <sheetData>
    <row r="1" spans="1:11" x14ac:dyDescent="0.35">
      <c r="A1" t="s">
        <v>89</v>
      </c>
      <c r="B1" t="s">
        <v>88</v>
      </c>
      <c r="C1" t="s">
        <v>238</v>
      </c>
    </row>
    <row r="3" spans="1:11" x14ac:dyDescent="0.35">
      <c r="A3" t="s">
        <v>19</v>
      </c>
      <c r="B3" t="s">
        <v>19</v>
      </c>
      <c r="C3" t="s">
        <v>19</v>
      </c>
      <c r="D3" t="s">
        <v>19</v>
      </c>
    </row>
    <row r="4" spans="1:11" x14ac:dyDescent="0.35">
      <c r="A4" t="s">
        <v>15</v>
      </c>
      <c r="B4" t="s">
        <v>16</v>
      </c>
      <c r="C4" t="s">
        <v>45</v>
      </c>
      <c r="D4" t="s">
        <v>17</v>
      </c>
    </row>
    <row r="5" spans="1:11" x14ac:dyDescent="0.35">
      <c r="A5" s="11">
        <f>IF('Coded Inputs'!$D9=3,0,1)</f>
        <v>0</v>
      </c>
      <c r="B5" s="11">
        <f>IF('Coded Inputs'!$D8=3,0,1)</f>
        <v>0</v>
      </c>
      <c r="C5" s="11">
        <f xml:space="preserve"> IF('Coded Inputs'!$D7=3,0,1)</f>
        <v>0</v>
      </c>
      <c r="D5" s="11">
        <f>IF('Coded Inputs'!$D6=3,0,1)</f>
        <v>1</v>
      </c>
    </row>
    <row r="7" spans="1:11" x14ac:dyDescent="0.35">
      <c r="B7" t="s">
        <v>22</v>
      </c>
      <c r="C7" t="s">
        <v>22</v>
      </c>
      <c r="D7" t="s">
        <v>21</v>
      </c>
      <c r="E7" t="s">
        <v>94</v>
      </c>
      <c r="F7" t="s">
        <v>94</v>
      </c>
      <c r="G7" t="s">
        <v>239</v>
      </c>
      <c r="H7" t="s">
        <v>240</v>
      </c>
    </row>
    <row r="8" spans="1:11" x14ac:dyDescent="0.35">
      <c r="B8" t="s">
        <v>91</v>
      </c>
      <c r="C8" t="s">
        <v>90</v>
      </c>
      <c r="D8" t="s">
        <v>92</v>
      </c>
      <c r="E8" t="s">
        <v>93</v>
      </c>
      <c r="F8" t="s">
        <v>60</v>
      </c>
      <c r="G8" t="s">
        <v>36</v>
      </c>
      <c r="H8" t="s">
        <v>36</v>
      </c>
      <c r="I8" t="s">
        <v>236</v>
      </c>
      <c r="J8" t="s">
        <v>103</v>
      </c>
    </row>
    <row r="9" spans="1:11" x14ac:dyDescent="0.35">
      <c r="A9" t="s">
        <v>120</v>
      </c>
      <c r="B9" s="11">
        <f>'Coded Inputs'!D11</f>
        <v>4</v>
      </c>
      <c r="C9" s="11">
        <f>'Coded Inputs'!D12</f>
        <v>4</v>
      </c>
      <c r="D9" s="11">
        <f>'Coded Inputs'!D13</f>
        <v>4</v>
      </c>
      <c r="E9" s="11">
        <f>'User interface-Design explorer'!C11</f>
        <v>4</v>
      </c>
      <c r="F9" s="11">
        <f>'User interface-Design explorer'!C10</f>
        <v>160</v>
      </c>
      <c r="G9" s="11" t="str">
        <f>'User interface-Design explorer'!C9</f>
        <v>Circular full plots</v>
      </c>
      <c r="H9" s="11">
        <f>IF(G9=C$1,0,1)</f>
        <v>1</v>
      </c>
      <c r="I9" s="11">
        <f>'User interface-Design explorer'!C12</f>
        <v>1</v>
      </c>
      <c r="J9" s="11">
        <f>'User interface-Design explorer'!C8/'User Interface-Project setup'!B6</f>
        <v>1</v>
      </c>
    </row>
    <row r="10" spans="1:11" x14ac:dyDescent="0.35">
      <c r="A10" t="s">
        <v>121</v>
      </c>
      <c r="E10" s="11">
        <f>'User interface-Design explorer'!D11</f>
        <v>2</v>
      </c>
      <c r="F10" s="11">
        <f>'User interface-Design explorer'!D10</f>
        <v>140</v>
      </c>
      <c r="G10" s="11" t="str">
        <f>'User interface-Design explorer'!D9</f>
        <v>Circular full plots</v>
      </c>
      <c r="H10" s="11">
        <f>IF(G10=C$1,0,1)</f>
        <v>1</v>
      </c>
      <c r="I10" s="11">
        <f>'User interface-Design explorer'!D12</f>
        <v>2</v>
      </c>
      <c r="J10" s="11">
        <f>'User interface-Design explorer'!D8/'User Interface-Project setup'!B6</f>
        <v>0.75</v>
      </c>
      <c r="K10">
        <v>1</v>
      </c>
    </row>
    <row r="12" spans="1:11" x14ac:dyDescent="0.35">
      <c r="A12" t="s">
        <v>95</v>
      </c>
    </row>
    <row r="13" spans="1:11" x14ac:dyDescent="0.35">
      <c r="B13" t="s">
        <v>26</v>
      </c>
      <c r="C13" t="s">
        <v>44</v>
      </c>
      <c r="D13" t="s">
        <v>47</v>
      </c>
      <c r="E13" t="s">
        <v>48</v>
      </c>
    </row>
    <row r="14" spans="1:11" x14ac:dyDescent="0.35">
      <c r="A14" t="s">
        <v>120</v>
      </c>
      <c r="B14" s="11">
        <f>IF($G9=$C$1,'Carcass density'!A17,VLOOKUP($F9,'Carcass density'!$B$20:$F$270,2,TRUE))</f>
        <v>1</v>
      </c>
      <c r="C14" s="11">
        <f>IF($G9=$C$1,'Carcass density'!B17,VLOOKUP($F9,'Carcass density'!$B$20:$F$270, 3, TRUE))</f>
        <v>0.97301189416953904</v>
      </c>
      <c r="D14" s="11">
        <f>IF($G9=$C$1,'Carcass density'!C17,VLOOKUP($F9,'Carcass density'!$B$20:$F$270, 4, TRUE))</f>
        <v>1</v>
      </c>
      <c r="E14" s="11">
        <f>IF($G9=$C$1,'Carcass density'!D17,VLOOKUP($F9,'Carcass density'!$B$20:$F$270, 5, TRUE))</f>
        <v>0.991041079287308</v>
      </c>
    </row>
    <row r="15" spans="1:11" x14ac:dyDescent="0.35">
      <c r="A15" t="s">
        <v>121</v>
      </c>
      <c r="B15" s="11">
        <f>IF($G10=$C$1,'Carcass density'!A17,VLOOKUP($F10,'Carcass density'!$B$20:$F$270, 2, TRUE))</f>
        <v>1</v>
      </c>
      <c r="C15" s="11">
        <f>IF($G10=$C$1,'Carcass density'!B17,VLOOKUP($F10,'Carcass density'!$B$20:$F$270, 3, TRUE))</f>
        <v>0.87736123264239096</v>
      </c>
      <c r="D15" s="11">
        <f>IF($G10=$C$1,'Carcass density'!C17,VLOOKUP($F10,'Carcass density'!$B$20:$F$270, 4, TRUE))</f>
        <v>1</v>
      </c>
      <c r="E15" s="11">
        <f>IF($G10=$C$1,'Carcass density'!D17,VLOOKUP($F10,'Carcass density'!$B$20:$F$270, 5, TRUE))</f>
        <v>0.985860974299969</v>
      </c>
    </row>
    <row r="17" spans="1:9" x14ac:dyDescent="0.35">
      <c r="A17" t="s">
        <v>96</v>
      </c>
    </row>
    <row r="18" spans="1:9" x14ac:dyDescent="0.35">
      <c r="A18" t="s">
        <v>26</v>
      </c>
      <c r="B18" t="s">
        <v>44</v>
      </c>
      <c r="C18" t="s">
        <v>47</v>
      </c>
      <c r="D18" t="s">
        <v>48</v>
      </c>
    </row>
    <row r="19" spans="1:9" x14ac:dyDescent="0.35">
      <c r="A19" s="11">
        <f>'Search interval'!A35</f>
        <v>2</v>
      </c>
      <c r="B19" s="11">
        <f>'Search interval'!B35</f>
        <v>5</v>
      </c>
      <c r="C19" s="11">
        <f>'Search interval'!C35</f>
        <v>8</v>
      </c>
      <c r="D19" s="11">
        <f>'Search interval'!D35</f>
        <v>18</v>
      </c>
    </row>
    <row r="21" spans="1:9" x14ac:dyDescent="0.35">
      <c r="A21" t="s">
        <v>97</v>
      </c>
    </row>
    <row r="22" spans="1:9" x14ac:dyDescent="0.35">
      <c r="B22" t="s">
        <v>26</v>
      </c>
      <c r="C22" t="s">
        <v>44</v>
      </c>
      <c r="D22" t="s">
        <v>47</v>
      </c>
      <c r="E22" t="s">
        <v>48</v>
      </c>
    </row>
    <row r="23" spans="1:9" x14ac:dyDescent="0.35">
      <c r="A23" t="s">
        <v>120</v>
      </c>
      <c r="B23" s="11">
        <f>HLOOKUP($I9,'exponential persistence'!$C$3:$AR$67,MATCH('Design explorer evaluation'!A$19,('exponential persistence'!$B$4:$B$67))+1,FALSE)</f>
        <v>0.78693868057473304</v>
      </c>
      <c r="C23" s="11">
        <f>HLOOKUP($I9,'exponential persistence'!$C$3:$AR$67,MATCH('Design explorer evaluation'!B$19,('exponential persistence'!$B$4:$B$67))+1,FALSE)</f>
        <v>0.90634623461009101</v>
      </c>
      <c r="D23" s="11">
        <f>HLOOKUP($I9,'exponential persistence'!$C$3:$AR$67,MATCH('Design explorer evaluation'!C$19,('exponential persistence'!$B$4:$B$67))+1,FALSE)</f>
        <v>0.94002477932323703</v>
      </c>
      <c r="E23" s="11">
        <f>HLOOKUP($I9,'exponential persistence'!$C$3:$AR$67,MATCH('Design explorer evaluation'!D$19,('exponential persistence'!$B$4:$B$67))+1,FALSE)</f>
        <v>0.97272955967822206</v>
      </c>
    </row>
    <row r="24" spans="1:9" x14ac:dyDescent="0.35">
      <c r="A24" t="s">
        <v>121</v>
      </c>
      <c r="B24" s="11">
        <f>HLOOKUP($I10,'exponential persistence'!$C$3:$AR$67,MATCH('Design explorer evaluation'!A$19,('exponential persistence'!$B$4:$B$67))+1,FALSE)</f>
        <v>0.632120558828558</v>
      </c>
      <c r="C24" s="11">
        <f>HLOOKUP($I10,'exponential persistence'!$C$3:$AR$67,MATCH('Design explorer evaluation'!B$19,('exponential persistence'!$B$4:$B$67))+1,FALSE)</f>
        <v>0.82419988491090201</v>
      </c>
      <c r="D24" s="11">
        <f>HLOOKUP($I10,'exponential persistence'!$C$3:$AR$67,MATCH('Design explorer evaluation'!C$19,('exponential persistence'!$B$4:$B$67))+1,FALSE)</f>
        <v>0.88479686771438104</v>
      </c>
      <c r="E24" s="11">
        <f>HLOOKUP($I10,'exponential persistence'!$C$3:$AR$67,MATCH('Design explorer evaluation'!D$19,('exponential persistence'!$B$4:$B$67))+1,FALSE)</f>
        <v>0.94644614867067201</v>
      </c>
    </row>
    <row r="26" spans="1:9" x14ac:dyDescent="0.35">
      <c r="A26" t="s">
        <v>241</v>
      </c>
    </row>
    <row r="27" spans="1:9" x14ac:dyDescent="0.35">
      <c r="B27" t="s">
        <v>218</v>
      </c>
      <c r="C27" t="s">
        <v>220</v>
      </c>
    </row>
    <row r="28" spans="1:9" x14ac:dyDescent="0.35">
      <c r="A28" t="s">
        <v>120</v>
      </c>
      <c r="B28" s="11">
        <f>IF($G9="Circular full plots", 'Search type evaluation'!B$24, 1)</f>
        <v>1</v>
      </c>
      <c r="C28" s="11">
        <f>IF($G9="Circular full plots", 'Search type evaluation'!C$24, 1)</f>
        <v>1</v>
      </c>
    </row>
    <row r="29" spans="1:9" x14ac:dyDescent="0.35">
      <c r="A29" t="s">
        <v>121</v>
      </c>
      <c r="B29" s="11">
        <f>IF($G10="Circular full plots", 'Search type evaluation'!B$24, 1)</f>
        <v>1</v>
      </c>
      <c r="C29" s="11">
        <f>IF($G10="Circular full plots", 'Search type evaluation'!C$24, 1)</f>
        <v>1</v>
      </c>
    </row>
    <row r="30" spans="1:9" ht="14.25" customHeight="1" x14ac:dyDescent="0.35"/>
    <row r="31" spans="1:9" ht="14.25" customHeight="1" x14ac:dyDescent="0.35">
      <c r="B31" t="s">
        <v>242</v>
      </c>
      <c r="C31" t="s">
        <v>245</v>
      </c>
      <c r="D31" t="s">
        <v>246</v>
      </c>
      <c r="E31" t="s">
        <v>247</v>
      </c>
      <c r="F31" t="s">
        <v>224</v>
      </c>
      <c r="G31" t="s">
        <v>225</v>
      </c>
      <c r="H31" t="s">
        <v>215</v>
      </c>
      <c r="I31" t="s">
        <v>216</v>
      </c>
    </row>
    <row r="32" spans="1:9" ht="14.25" customHeight="1" x14ac:dyDescent="0.35">
      <c r="A32" t="s">
        <v>120</v>
      </c>
      <c r="B32" s="6">
        <v>0.8</v>
      </c>
      <c r="C32" s="6">
        <v>0.8</v>
      </c>
      <c r="D32" s="6">
        <v>0.9</v>
      </c>
      <c r="E32" s="6">
        <v>1</v>
      </c>
      <c r="F32" s="11">
        <f>INDEX('Transect width &amp; Search radius'!$B$45:$G$74,'Design explorer evaluation'!$E9,MATCH('Transect width &amp; Search radius'!A$25,'Transect width &amp; Search radius'!$B$44:$G$44,0))</f>
        <v>0.93645793082437201</v>
      </c>
      <c r="G32" s="11">
        <f>INDEX('Transect width &amp; Search radius'!$B$45:$G$74,'Design explorer evaluation'!$E9,MATCH('Transect width &amp; Search radius'!B$25,'Transect width &amp; Search radius'!$B$44:$G$44,0))</f>
        <v>0.93645793082437201</v>
      </c>
      <c r="H32" s="11">
        <f>INDEX('Transect width &amp; Search radius'!$B$45:$G$74,'Design explorer evaluation'!$E9,MATCH('Transect width &amp; Search radius'!C$25,'Transect width &amp; Search radius'!$B$44:$G$44,0))</f>
        <v>0.97081549186739102</v>
      </c>
      <c r="I32" s="11">
        <f>INDEX('Transect width &amp; Search radius'!$B$45:$G$74,'Design explorer evaluation'!$E9,MATCH('Transect width &amp; Search radius'!D$25,'Transect width &amp; Search radius'!$B$44:$G$44,0))</f>
        <v>0.98339121486557601</v>
      </c>
    </row>
    <row r="33" spans="1:9" x14ac:dyDescent="0.35">
      <c r="A33" t="s">
        <v>121</v>
      </c>
      <c r="B33" s="6">
        <v>0.8</v>
      </c>
      <c r="C33" s="6">
        <v>0.8</v>
      </c>
      <c r="D33" s="6">
        <v>0.9</v>
      </c>
      <c r="E33" s="6">
        <v>1</v>
      </c>
      <c r="F33" s="11">
        <f>INDEX('Transect width &amp; Search radius'!$B$45:$G$74,'Design explorer evaluation'!$E10,MATCH('Transect width &amp; Search radius'!A$25,'Transect width &amp; Search radius'!$B$44:$G$44,0))</f>
        <v>0.98339121494842097</v>
      </c>
      <c r="G33" s="11">
        <f>INDEX('Transect width &amp; Search radius'!$B$45:$G$74,'Design explorer evaluation'!$E10,MATCH('Transect width &amp; Search radius'!B$25,'Transect width &amp; Search radius'!$B$44:$G$44,0))</f>
        <v>0.98339121494842097</v>
      </c>
      <c r="H33" s="11">
        <f>INDEX('Transect width &amp; Search radius'!$B$45:$G$74,'Design explorer evaluation'!$E10,MATCH('Transect width &amp; Search radius'!C$25,'Transect width &amp; Search radius'!$B$44:$G$44,0))</f>
        <v>0.99255622377265895</v>
      </c>
      <c r="I33" s="11">
        <f>INDEX('Transect width &amp; Search radius'!$B$45:$G$74,'Design explorer evaluation'!$E10,MATCH('Transect width &amp; Search radius'!D$25,'Transect width &amp; Search radius'!$B$44:$G$44,0))</f>
        <v>0.99580054062458401</v>
      </c>
    </row>
    <row r="35" spans="1:9" x14ac:dyDescent="0.35">
      <c r="B35" t="s">
        <v>219</v>
      </c>
      <c r="C35" t="s">
        <v>221</v>
      </c>
      <c r="D35" t="s">
        <v>222</v>
      </c>
      <c r="E35" t="s">
        <v>223</v>
      </c>
    </row>
    <row r="36" spans="1:9" x14ac:dyDescent="0.35">
      <c r="A36" t="s">
        <v>120</v>
      </c>
      <c r="B36">
        <f>IF($G9=$B$1,F32,B32)</f>
        <v>0.93645793082437201</v>
      </c>
      <c r="C36">
        <f t="shared" ref="C36:E36" si="0">IF($G9=$B$1,G32,C32)</f>
        <v>0.93645793082437201</v>
      </c>
      <c r="D36">
        <f t="shared" si="0"/>
        <v>0.97081549186739102</v>
      </c>
      <c r="E36">
        <f t="shared" si="0"/>
        <v>0.98339121486557601</v>
      </c>
    </row>
    <row r="37" spans="1:9" x14ac:dyDescent="0.35">
      <c r="A37" t="s">
        <v>121</v>
      </c>
      <c r="B37">
        <f>IF($G10=$B$1,F33,B33)</f>
        <v>0.98339121494842097</v>
      </c>
      <c r="C37">
        <f t="shared" ref="C37" si="1">IF($G10=$B$1,G33,C33)</f>
        <v>0.98339121494842097</v>
      </c>
      <c r="D37">
        <f t="shared" ref="D37" si="2">IF($G10=$B$1,H33,D33)</f>
        <v>0.99255622377265895</v>
      </c>
      <c r="E37">
        <f t="shared" ref="E37" si="3">IF($G10=$B$1,I33,E33)</f>
        <v>0.99580054062458401</v>
      </c>
    </row>
    <row r="40" spans="1:9" x14ac:dyDescent="0.35">
      <c r="A40" t="s">
        <v>101</v>
      </c>
    </row>
    <row r="41" spans="1:9" x14ac:dyDescent="0.35">
      <c r="B41" t="s">
        <v>26</v>
      </c>
      <c r="C41" t="s">
        <v>44</v>
      </c>
      <c r="D41" t="s">
        <v>47</v>
      </c>
      <c r="E41" t="s">
        <v>48</v>
      </c>
      <c r="F41" t="s">
        <v>102</v>
      </c>
    </row>
    <row r="42" spans="1:9" x14ac:dyDescent="0.35">
      <c r="A42" t="s">
        <v>120</v>
      </c>
      <c r="B42" s="10">
        <f t="shared" ref="B42:E43" si="4">$J9*B14*B23*B36*$B28*$C28</f>
        <v>0.73693496849667595</v>
      </c>
      <c r="C42" s="10">
        <f t="shared" si="4"/>
        <v>0.8258488264849323</v>
      </c>
      <c r="D42" s="10">
        <f t="shared" si="4"/>
        <v>0.91259061850622403</v>
      </c>
      <c r="E42" s="10">
        <f t="shared" si="4"/>
        <v>0.94800383546276934</v>
      </c>
      <c r="F42" s="10">
        <f xml:space="preserve"> MIN(B42:E42)</f>
        <v>0.73693496849667595</v>
      </c>
    </row>
    <row r="43" spans="1:9" x14ac:dyDescent="0.35">
      <c r="A43" t="s">
        <v>121</v>
      </c>
      <c r="B43" s="10">
        <f t="shared" si="4"/>
        <v>0.46621635325521782</v>
      </c>
      <c r="C43" s="10">
        <f t="shared" si="4"/>
        <v>0.53333314894945349</v>
      </c>
      <c r="D43" s="10">
        <f t="shared" si="4"/>
        <v>0.65865797836834716</v>
      </c>
      <c r="E43" s="10">
        <f t="shared" si="4"/>
        <v>0.69685946740123439</v>
      </c>
      <c r="F43" s="10">
        <f xml:space="preserve"> MIN(B43:E43)</f>
        <v>0.46621635325521782</v>
      </c>
    </row>
    <row r="45" spans="1:9" x14ac:dyDescent="0.35">
      <c r="A45" t="s">
        <v>156</v>
      </c>
      <c r="B45" t="s">
        <v>26</v>
      </c>
      <c r="C45" t="s">
        <v>44</v>
      </c>
      <c r="D45" t="s">
        <v>47</v>
      </c>
      <c r="E45" t="s">
        <v>48</v>
      </c>
    </row>
    <row r="46" spans="1:9" x14ac:dyDescent="0.35">
      <c r="A46" t="s">
        <v>120</v>
      </c>
      <c r="B46" s="10">
        <f>IF(A$5=1,B42,1)</f>
        <v>1</v>
      </c>
      <c r="C46" s="10">
        <f t="shared" ref="C46:E47" si="5">IF(B$5=1,C42,1)</f>
        <v>1</v>
      </c>
      <c r="D46" s="10">
        <f t="shared" si="5"/>
        <v>1</v>
      </c>
      <c r="E46" s="10">
        <f t="shared" si="5"/>
        <v>0.94800383546276934</v>
      </c>
      <c r="F46" s="10">
        <f>MIN(B46:E46)</f>
        <v>0.94800383546276934</v>
      </c>
    </row>
    <row r="47" spans="1:9" x14ac:dyDescent="0.35">
      <c r="A47" t="s">
        <v>121</v>
      </c>
      <c r="B47" s="10">
        <f>IF(A$5=1,B43,1)</f>
        <v>1</v>
      </c>
      <c r="C47" s="10">
        <f t="shared" si="5"/>
        <v>1</v>
      </c>
      <c r="D47" s="10">
        <f t="shared" si="5"/>
        <v>1</v>
      </c>
      <c r="E47" s="10">
        <f t="shared" si="5"/>
        <v>0.69685946740123439</v>
      </c>
      <c r="F47" s="10">
        <f>MIN(B47:E47)</f>
        <v>0.69685946740123439</v>
      </c>
    </row>
    <row r="48" spans="1:9" x14ac:dyDescent="0.35">
      <c r="A48" t="s">
        <v>157</v>
      </c>
      <c r="B48" s="10">
        <f>MIN(B46+B47, 1)</f>
        <v>1</v>
      </c>
      <c r="C48" s="10">
        <f t="shared" ref="C48:E48" si="6">MIN(C46+C47, 1)</f>
        <v>1</v>
      </c>
      <c r="D48" s="10">
        <f t="shared" si="6"/>
        <v>1</v>
      </c>
      <c r="E48" s="10">
        <f t="shared" si="6"/>
        <v>1</v>
      </c>
    </row>
    <row r="50" spans="1:1" x14ac:dyDescent="0.35">
      <c r="A50" s="7" t="s">
        <v>141</v>
      </c>
    </row>
    <row r="52" spans="1:1" x14ac:dyDescent="0.35">
      <c r="A52" s="11" t="s">
        <v>107</v>
      </c>
    </row>
    <row r="53" spans="1:1" x14ac:dyDescent="0.35">
      <c r="A53" s="10" t="s">
        <v>106</v>
      </c>
    </row>
    <row r="54" spans="1:1" x14ac:dyDescent="0.35">
      <c r="A54" s="6" t="s">
        <v>108</v>
      </c>
    </row>
    <row r="55" spans="1:1" x14ac:dyDescent="0.35">
      <c r="A55" s="7" t="s">
        <v>38</v>
      </c>
    </row>
    <row r="83" spans="1:1" x14ac:dyDescent="0.35">
      <c r="A83" s="11" t="s">
        <v>107</v>
      </c>
    </row>
    <row r="84" spans="1:1" x14ac:dyDescent="0.35">
      <c r="A84" s="10" t="s">
        <v>106</v>
      </c>
    </row>
    <row r="85" spans="1:1" x14ac:dyDescent="0.35">
      <c r="A85" s="6" t="s">
        <v>108</v>
      </c>
    </row>
    <row r="86" spans="1:1" x14ac:dyDescent="0.35">
      <c r="A86" s="7" t="s">
        <v>38</v>
      </c>
    </row>
    <row r="88" spans="1:1" x14ac:dyDescent="0.35">
      <c r="A88" s="7" t="s">
        <v>104</v>
      </c>
    </row>
    <row r="89" spans="1:1" x14ac:dyDescent="0.35">
      <c r="A89" s="7" t="s">
        <v>217</v>
      </c>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57"/>
  <sheetViews>
    <sheetView workbookViewId="0">
      <selection activeCell="A51" sqref="A51"/>
    </sheetView>
  </sheetViews>
  <sheetFormatPr defaultRowHeight="14.5" x14ac:dyDescent="0.35"/>
  <cols>
    <col min="1" max="1" width="33.54296875" customWidth="1"/>
    <col min="2" max="2" width="25.81640625" customWidth="1"/>
    <col min="3" max="4" width="31.1796875" customWidth="1"/>
    <col min="5" max="5" width="25.7265625" customWidth="1"/>
    <col min="6" max="6" width="23.81640625" customWidth="1"/>
    <col min="7" max="7" width="21.54296875" customWidth="1"/>
    <col min="8" max="8" width="22.54296875" customWidth="1"/>
    <col min="9" max="9" width="25.7265625" customWidth="1"/>
    <col min="10" max="10" width="23.26953125" bestFit="1" customWidth="1"/>
  </cols>
  <sheetData>
    <row r="1" spans="1:8" x14ac:dyDescent="0.35">
      <c r="A1" t="s">
        <v>19</v>
      </c>
      <c r="B1" t="s">
        <v>19</v>
      </c>
      <c r="C1" t="s">
        <v>19</v>
      </c>
      <c r="D1" t="s">
        <v>19</v>
      </c>
      <c r="E1" t="s">
        <v>132</v>
      </c>
    </row>
    <row r="2" spans="1:8" x14ac:dyDescent="0.35">
      <c r="A2" t="s">
        <v>15</v>
      </c>
      <c r="B2" t="s">
        <v>16</v>
      </c>
      <c r="C2" t="s">
        <v>45</v>
      </c>
      <c r="D2" t="s">
        <v>17</v>
      </c>
      <c r="E2" t="s">
        <v>131</v>
      </c>
    </row>
    <row r="3" spans="1:8" x14ac:dyDescent="0.35">
      <c r="A3" s="11">
        <f>IF('Coded Inputs'!$D9=3,0,1)</f>
        <v>0</v>
      </c>
      <c r="B3" s="11">
        <f>IF('Coded Inputs'!$D8=3,0,1)</f>
        <v>0</v>
      </c>
      <c r="C3" s="11">
        <f xml:space="preserve"> IF('Coded Inputs'!$D7=3,0,1)</f>
        <v>0</v>
      </c>
      <c r="D3" s="11">
        <f>IF('Coded Inputs'!$D6=3,0,1)</f>
        <v>1</v>
      </c>
      <c r="E3">
        <f>'Coded Inputs'!D2</f>
        <v>80</v>
      </c>
    </row>
    <row r="5" spans="1:8" x14ac:dyDescent="0.35">
      <c r="A5" t="s">
        <v>22</v>
      </c>
      <c r="B5" t="s">
        <v>22</v>
      </c>
      <c r="C5" t="s">
        <v>19</v>
      </c>
      <c r="D5" t="s">
        <v>19</v>
      </c>
      <c r="E5" t="s">
        <v>21</v>
      </c>
    </row>
    <row r="6" spans="1:8" x14ac:dyDescent="0.35">
      <c r="A6" t="s">
        <v>151</v>
      </c>
      <c r="B6" t="s">
        <v>152</v>
      </c>
      <c r="C6" t="s">
        <v>248</v>
      </c>
      <c r="D6" t="s">
        <v>249</v>
      </c>
      <c r="E6" t="s">
        <v>20</v>
      </c>
    </row>
    <row r="7" spans="1:8" x14ac:dyDescent="0.35">
      <c r="A7" s="11">
        <f>'Coded Inputs'!D11</f>
        <v>4</v>
      </c>
      <c r="B7" s="11">
        <f>'Coded Inputs'!D12</f>
        <v>4</v>
      </c>
      <c r="C7" s="11">
        <f>IF('Coded Inputs'!D10=1,0,1)</f>
        <v>1</v>
      </c>
      <c r="D7" s="11">
        <f>IF('Coded Inputs'!D14=1,1,0)</f>
        <v>1</v>
      </c>
      <c r="E7" s="11">
        <f>'Coded Inputs'!D13</f>
        <v>4</v>
      </c>
    </row>
    <row r="9" spans="1:8" x14ac:dyDescent="0.35">
      <c r="A9" t="s">
        <v>79</v>
      </c>
      <c r="B9" t="s">
        <v>79</v>
      </c>
      <c r="C9" t="s">
        <v>79</v>
      </c>
      <c r="D9" t="s">
        <v>79</v>
      </c>
      <c r="E9" t="s">
        <v>79</v>
      </c>
      <c r="F9" t="s">
        <v>79</v>
      </c>
      <c r="G9" t="s">
        <v>79</v>
      </c>
      <c r="H9" t="s">
        <v>79</v>
      </c>
    </row>
    <row r="10" spans="1:8" x14ac:dyDescent="0.35">
      <c r="A10" t="s">
        <v>78</v>
      </c>
      <c r="B10" t="s">
        <v>186</v>
      </c>
      <c r="C10" t="s">
        <v>198</v>
      </c>
      <c r="D10" t="s">
        <v>208</v>
      </c>
      <c r="E10" t="s">
        <v>80</v>
      </c>
      <c r="F10" t="s">
        <v>184</v>
      </c>
      <c r="G10" t="s">
        <v>196</v>
      </c>
      <c r="H10" t="s">
        <v>206</v>
      </c>
    </row>
    <row r="11" spans="1:8" x14ac:dyDescent="0.35">
      <c r="A11" s="11">
        <f>'Carcass density'!A17</f>
        <v>0.12764932562620426</v>
      </c>
      <c r="B11" s="11">
        <f>'Carcass density'!B17</f>
        <v>4.621081725759775E-2</v>
      </c>
      <c r="C11" s="11">
        <f>'Carcass density'!C17</f>
        <v>6.1401131734506252E-2</v>
      </c>
      <c r="D11" s="11">
        <f>'Carcass density'!D17</f>
        <v>1.2626070080356211E-2</v>
      </c>
      <c r="E11" s="11">
        <f>'Transect width &amp; Search radius'!A35</f>
        <v>0.99412827109249202</v>
      </c>
      <c r="F11" s="11">
        <f>'Transect width &amp; Search radius'!B35</f>
        <v>0.55987173592105899</v>
      </c>
      <c r="G11" s="11">
        <f>'Transect width &amp; Search radius'!C35</f>
        <v>0.714977376736739</v>
      </c>
      <c r="H11" s="11">
        <f>'Transect width &amp; Search radius'!D35</f>
        <v>0.90763767351838698</v>
      </c>
    </row>
    <row r="13" spans="1:8" x14ac:dyDescent="0.35">
      <c r="A13" t="s">
        <v>81</v>
      </c>
      <c r="B13" t="s">
        <v>81</v>
      </c>
      <c r="C13" t="s">
        <v>81</v>
      </c>
      <c r="D13" t="s">
        <v>81</v>
      </c>
    </row>
    <row r="14" spans="1:8" x14ac:dyDescent="0.35">
      <c r="A14" t="s">
        <v>82</v>
      </c>
      <c r="B14" t="s">
        <v>187</v>
      </c>
      <c r="C14" t="s">
        <v>194</v>
      </c>
      <c r="D14" t="s">
        <v>209</v>
      </c>
    </row>
    <row r="15" spans="1:8" x14ac:dyDescent="0.35">
      <c r="A15" s="11">
        <f>'Search interval'!A42</f>
        <v>9.5235472719109496E-2</v>
      </c>
      <c r="B15" s="11">
        <f>'Search interval'!B42</f>
        <v>0.23452486266179101</v>
      </c>
      <c r="C15" s="11">
        <f>'Search interval'!C42</f>
        <v>0.35335628303457101</v>
      </c>
      <c r="D15" s="11">
        <f>'Search interval'!D42</f>
        <v>0.59022580807320202</v>
      </c>
    </row>
    <row r="17" spans="1:8" x14ac:dyDescent="0.35">
      <c r="A17" t="s">
        <v>242</v>
      </c>
      <c r="B17" t="s">
        <v>245</v>
      </c>
      <c r="C17" t="s">
        <v>246</v>
      </c>
      <c r="D17" t="s">
        <v>247</v>
      </c>
      <c r="E17" t="s">
        <v>224</v>
      </c>
      <c r="F17" t="s">
        <v>225</v>
      </c>
      <c r="G17" t="s">
        <v>215</v>
      </c>
      <c r="H17" t="s">
        <v>216</v>
      </c>
    </row>
    <row r="18" spans="1:8" x14ac:dyDescent="0.35">
      <c r="A18" s="6">
        <v>0.8</v>
      </c>
      <c r="B18" s="6">
        <v>0.8</v>
      </c>
      <c r="C18" s="6">
        <v>0.9</v>
      </c>
      <c r="D18" s="6">
        <v>1</v>
      </c>
      <c r="E18" s="11">
        <f>'Transect width &amp; Search radius'!A38</f>
        <v>0.70000000124578698</v>
      </c>
      <c r="F18" s="11">
        <f>'Transect width &amp; Search radius'!B38</f>
        <v>0.70000000124578698</v>
      </c>
      <c r="G18" s="11">
        <f>'Transect width &amp; Search radius'!C38</f>
        <v>0.84043432855043199</v>
      </c>
      <c r="H18" s="11">
        <f>'Transect width &amp; Search radius'!D38</f>
        <v>0.90390187506911801</v>
      </c>
    </row>
    <row r="20" spans="1:8" x14ac:dyDescent="0.35">
      <c r="A20" t="s">
        <v>250</v>
      </c>
      <c r="B20" t="s">
        <v>226</v>
      </c>
      <c r="C20" t="s">
        <v>227</v>
      </c>
      <c r="D20" t="s">
        <v>154</v>
      </c>
    </row>
    <row r="21" spans="1:8" x14ac:dyDescent="0.35">
      <c r="A21" s="12">
        <v>0.15</v>
      </c>
      <c r="B21" s="6">
        <v>0.15</v>
      </c>
      <c r="C21" s="6">
        <v>3</v>
      </c>
      <c r="D21" s="6">
        <v>0.25</v>
      </c>
    </row>
    <row r="23" spans="1:8" x14ac:dyDescent="0.35">
      <c r="A23" t="s">
        <v>251</v>
      </c>
      <c r="B23" t="s">
        <v>218</v>
      </c>
      <c r="C23" t="s">
        <v>220</v>
      </c>
    </row>
    <row r="24" spans="1:8" x14ac:dyDescent="0.35">
      <c r="A24" s="10">
        <f>IF(E7&gt;1, MIN(C7:D7,(E7-1)), 0)</f>
        <v>1</v>
      </c>
      <c r="B24" s="10">
        <f>(B21*((A7+B7)/2))+0.4</f>
        <v>1</v>
      </c>
      <c r="C24" s="10">
        <f>(E7-1)/C21</f>
        <v>1</v>
      </c>
    </row>
    <row r="26" spans="1:8" x14ac:dyDescent="0.35">
      <c r="A26" t="s">
        <v>134</v>
      </c>
    </row>
    <row r="27" spans="1:8" x14ac:dyDescent="0.35">
      <c r="A27" t="s">
        <v>252</v>
      </c>
      <c r="B27" t="s">
        <v>253</v>
      </c>
      <c r="C27" t="s">
        <v>254</v>
      </c>
      <c r="D27" t="s">
        <v>255</v>
      </c>
      <c r="E27" t="s">
        <v>83</v>
      </c>
      <c r="F27" t="s">
        <v>185</v>
      </c>
      <c r="G27" t="s">
        <v>197</v>
      </c>
      <c r="H27" t="s">
        <v>207</v>
      </c>
    </row>
    <row r="28" spans="1:8" x14ac:dyDescent="0.35">
      <c r="A28" s="10">
        <f>A11*A15*A18</f>
        <v>9.7253950946296821E-3</v>
      </c>
      <c r="B28" s="10">
        <f>B11*B15*B18</f>
        <v>8.6700684566617878E-3</v>
      </c>
      <c r="C28" s="10">
        <f>C11*C15*C18</f>
        <v>1.9526828115439054E-2</v>
      </c>
      <c r="D28" s="10">
        <f>D11*D15*D18</f>
        <v>7.4522324159671232E-3</v>
      </c>
      <c r="E28" s="10">
        <f>E11*A15*E18*$B24*$C24</f>
        <v>6.6273393206593631E-2</v>
      </c>
      <c r="F28" s="10">
        <f>F11*B15*F18*$B24*$C24</f>
        <v>9.1912689546150034E-2</v>
      </c>
      <c r="G28" s="10">
        <f>G11*C15*G18*$B24*$C24</f>
        <v>0.21232879809421853</v>
      </c>
      <c r="H28" s="10">
        <f>H11*D15*H18*$B24*$C24</f>
        <v>0.4842303394557837</v>
      </c>
    </row>
    <row r="30" spans="1:8" x14ac:dyDescent="0.35">
      <c r="A30" t="s">
        <v>153</v>
      </c>
    </row>
    <row r="31" spans="1:8" x14ac:dyDescent="0.35">
      <c r="A31" t="s">
        <v>252</v>
      </c>
      <c r="B31" t="s">
        <v>253</v>
      </c>
      <c r="C31" t="s">
        <v>254</v>
      </c>
      <c r="D31" t="s">
        <v>255</v>
      </c>
    </row>
    <row r="32" spans="1:8" x14ac:dyDescent="0.35">
      <c r="A32" s="10">
        <f>IF(A3=1,A28,1)</f>
        <v>1</v>
      </c>
      <c r="B32" s="10">
        <f t="shared" ref="B32:D32" si="0">IF(B3=1,B28,1)</f>
        <v>1</v>
      </c>
      <c r="C32" s="10">
        <f t="shared" si="0"/>
        <v>1</v>
      </c>
      <c r="D32" s="10">
        <f t="shared" si="0"/>
        <v>7.4522324159671232E-3</v>
      </c>
    </row>
    <row r="34" spans="1:19" x14ac:dyDescent="0.35">
      <c r="A34" s="11" t="s">
        <v>131</v>
      </c>
      <c r="B34" s="11">
        <v>1</v>
      </c>
      <c r="C34" s="11">
        <v>11</v>
      </c>
      <c r="D34" s="11">
        <v>21</v>
      </c>
      <c r="E34" s="11">
        <v>26</v>
      </c>
      <c r="F34" s="11">
        <v>31</v>
      </c>
      <c r="G34" s="11">
        <v>42</v>
      </c>
      <c r="H34" s="11">
        <v>51</v>
      </c>
      <c r="I34" s="11">
        <v>76</v>
      </c>
      <c r="J34" s="11">
        <v>101</v>
      </c>
      <c r="K34" s="11">
        <v>151</v>
      </c>
      <c r="L34" s="11">
        <v>201</v>
      </c>
      <c r="M34" s="11">
        <v>251</v>
      </c>
      <c r="N34" s="11">
        <v>301</v>
      </c>
      <c r="O34" s="11">
        <v>401</v>
      </c>
      <c r="P34" s="11">
        <v>501</v>
      </c>
      <c r="Q34" s="11">
        <v>751</v>
      </c>
      <c r="R34" s="11">
        <v>1000</v>
      </c>
      <c r="S34" t="s">
        <v>155</v>
      </c>
    </row>
    <row r="35" spans="1:19" x14ac:dyDescent="0.35">
      <c r="A35" s="11" t="s">
        <v>138</v>
      </c>
      <c r="B35" s="11">
        <v>1</v>
      </c>
      <c r="C35" s="11">
        <v>1</v>
      </c>
      <c r="D35" s="11">
        <v>1</v>
      </c>
      <c r="E35" s="11">
        <v>0.95</v>
      </c>
      <c r="F35" s="11">
        <v>0.9</v>
      </c>
      <c r="G35" s="11">
        <v>0.85</v>
      </c>
      <c r="H35" s="11">
        <v>0.77</v>
      </c>
      <c r="I35" s="11">
        <v>0.7</v>
      </c>
      <c r="J35" s="11">
        <v>0.63</v>
      </c>
      <c r="K35" s="11">
        <v>0.57999999999999996</v>
      </c>
      <c r="L35" s="11">
        <v>0.5</v>
      </c>
      <c r="M35" s="11">
        <v>0.45</v>
      </c>
      <c r="N35" s="11">
        <v>0.4</v>
      </c>
      <c r="O35" s="11">
        <v>0.35</v>
      </c>
      <c r="P35" s="11">
        <v>0.3</v>
      </c>
      <c r="Q35" s="11">
        <v>0.2</v>
      </c>
      <c r="R35" s="11">
        <v>0.15</v>
      </c>
      <c r="S35">
        <f>TREND(B35:R35,LN(B34:R34),LN(E3))</f>
        <v>0.6451623560407278</v>
      </c>
    </row>
    <row r="38" spans="1:19" x14ac:dyDescent="0.35">
      <c r="A38" t="s">
        <v>133</v>
      </c>
      <c r="B38" t="s">
        <v>30</v>
      </c>
      <c r="C38" t="s">
        <v>35</v>
      </c>
      <c r="D38" t="s">
        <v>136</v>
      </c>
      <c r="E38" t="s">
        <v>60</v>
      </c>
    </row>
    <row r="39" spans="1:19" x14ac:dyDescent="0.35">
      <c r="A39" s="10">
        <f>MIN(1, HLOOKUP(E3,B34:P35,2, TRUE) * IF(B39=1,1,2))</f>
        <v>0.7</v>
      </c>
      <c r="B39" s="10">
        <f>IF(A24=1,IF(MIN(A32:D32) &lt;A21, 1, 0),0)</f>
        <v>1</v>
      </c>
      <c r="C39" s="10">
        <f>IF(D3=1,IF(B39=0,1,IF(B7&gt;1&amp;A7&gt;2,1)),0)</f>
        <v>1</v>
      </c>
      <c r="D39" s="10">
        <f>IF(B39=0,MIN(1,1.5*(HLOOKUP(E3,B34:R35,2,TRUE))),MIN(HLOOKUP(E3,B34:R35,2,TRUE),D21/MIN(A32:D32)))</f>
        <v>0.7</v>
      </c>
      <c r="E39" s="10">
        <f>IF(B39=0,'Transect width &amp; Search radius'!A22,MAX('Transect width &amp; Search radius'!A28:E28))</f>
        <v>80</v>
      </c>
    </row>
    <row r="40" spans="1:19" x14ac:dyDescent="0.35">
      <c r="D40" s="14"/>
    </row>
    <row r="41" spans="1:19" x14ac:dyDescent="0.35">
      <c r="A41" t="s">
        <v>135</v>
      </c>
    </row>
    <row r="42" spans="1:19" x14ac:dyDescent="0.35">
      <c r="A42" t="s">
        <v>137</v>
      </c>
      <c r="B42" t="s">
        <v>188</v>
      </c>
      <c r="C42" t="s">
        <v>195</v>
      </c>
      <c r="D42" t="s">
        <v>210</v>
      </c>
    </row>
    <row r="43" spans="1:19" x14ac:dyDescent="0.35">
      <c r="A43" s="10">
        <f>IF($B39=1, E28,A28)*ROUNDUP($D39*$E3,0)/$E3</f>
        <v>4.6391375244615542E-2</v>
      </c>
      <c r="B43" s="10">
        <f>IF($B39=1, F28,B28)*ROUNDUP($D39*$E3,0)/$E3</f>
        <v>6.4338882682305018E-2</v>
      </c>
      <c r="C43" s="10">
        <f>IF($B39=1, G28,C28)*ROUNDUP($D39*$E3,0)/$E3</f>
        <v>0.14863015866595297</v>
      </c>
      <c r="D43" s="16">
        <f>IF($B39=1, H28,D28)*ROUNDUP($D39*$E3,0)/$E3</f>
        <v>0.33896123761904862</v>
      </c>
    </row>
    <row r="45" spans="1:19" x14ac:dyDescent="0.35">
      <c r="A45" t="s">
        <v>150</v>
      </c>
    </row>
    <row r="46" spans="1:19" x14ac:dyDescent="0.35">
      <c r="A46" t="s">
        <v>137</v>
      </c>
      <c r="B46" t="s">
        <v>188</v>
      </c>
      <c r="C46" t="s">
        <v>195</v>
      </c>
      <c r="D46" t="s">
        <v>210</v>
      </c>
    </row>
    <row r="47" spans="1:19" x14ac:dyDescent="0.35">
      <c r="A47" s="10">
        <f>IF(A3 = 1, A43, A43)</f>
        <v>4.6391375244615542E-2</v>
      </c>
      <c r="B47" s="10">
        <f t="shared" ref="B47:D47" si="1">IF(B3 = 1, B43, B43)</f>
        <v>6.4338882682305018E-2</v>
      </c>
      <c r="C47" s="10">
        <f t="shared" si="1"/>
        <v>0.14863015866595297</v>
      </c>
      <c r="D47" s="10">
        <f t="shared" si="1"/>
        <v>0.33896123761904862</v>
      </c>
    </row>
    <row r="48" spans="1:19" x14ac:dyDescent="0.35">
      <c r="A48" s="10" t="s">
        <v>169</v>
      </c>
      <c r="B48" s="10"/>
      <c r="C48" s="10"/>
      <c r="D48" s="10"/>
    </row>
    <row r="49" spans="1:4" x14ac:dyDescent="0.35">
      <c r="A49" s="10">
        <f>IF(SUM($A3:$D3)=0, A47,IF(A3=0, 1, A47))</f>
        <v>1</v>
      </c>
      <c r="B49" s="10">
        <f t="shared" ref="B49:D49" si="2">IF(SUM($A3:$D3)=0, B47,IF(B3=0, 1, B47))</f>
        <v>1</v>
      </c>
      <c r="C49" s="10">
        <f t="shared" si="2"/>
        <v>1</v>
      </c>
      <c r="D49" s="10">
        <f t="shared" si="2"/>
        <v>0.33896123761904862</v>
      </c>
    </row>
    <row r="51" spans="1:4" x14ac:dyDescent="0.35">
      <c r="A51" s="7" t="s">
        <v>40</v>
      </c>
    </row>
    <row r="52" spans="1:4" x14ac:dyDescent="0.35">
      <c r="A52" s="7" t="s">
        <v>41</v>
      </c>
    </row>
    <row r="54" spans="1:4" x14ac:dyDescent="0.35">
      <c r="A54" s="11" t="s">
        <v>107</v>
      </c>
    </row>
    <row r="55" spans="1:4" x14ac:dyDescent="0.35">
      <c r="A55" s="10" t="s">
        <v>106</v>
      </c>
    </row>
    <row r="56" spans="1:4" x14ac:dyDescent="0.35">
      <c r="A56" s="6" t="s">
        <v>108</v>
      </c>
    </row>
    <row r="57" spans="1:4" x14ac:dyDescent="0.35">
      <c r="A57" s="7" t="s">
        <v>38</v>
      </c>
    </row>
  </sheetData>
  <sheetProtection sheet="1" objects="1" scenarios="1"/>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79"/>
  <sheetViews>
    <sheetView workbookViewId="0">
      <selection activeCell="A16" sqref="A16"/>
    </sheetView>
  </sheetViews>
  <sheetFormatPr defaultRowHeight="14.5" x14ac:dyDescent="0.35"/>
  <cols>
    <col min="1" max="1" width="34.54296875" customWidth="1"/>
    <col min="2" max="2" width="25.81640625" customWidth="1"/>
    <col min="3" max="3" width="28.54296875" customWidth="1"/>
    <col min="4" max="4" width="25.54296875" customWidth="1"/>
    <col min="5" max="5" width="25.7265625" customWidth="1"/>
    <col min="6" max="6" width="14.81640625" customWidth="1"/>
  </cols>
  <sheetData>
    <row r="1" spans="1:5" x14ac:dyDescent="0.35">
      <c r="A1" t="s">
        <v>25</v>
      </c>
    </row>
    <row r="2" spans="1:5" x14ac:dyDescent="0.35">
      <c r="A2" t="s">
        <v>19</v>
      </c>
      <c r="B2" t="s">
        <v>19</v>
      </c>
      <c r="C2" t="s">
        <v>19</v>
      </c>
      <c r="D2" t="s">
        <v>19</v>
      </c>
      <c r="E2" t="s">
        <v>22</v>
      </c>
    </row>
    <row r="3" spans="1:5" x14ac:dyDescent="0.35">
      <c r="A3" t="s">
        <v>46</v>
      </c>
      <c r="B3" t="s">
        <v>16</v>
      </c>
      <c r="C3" t="s">
        <v>45</v>
      </c>
      <c r="D3" t="s">
        <v>17</v>
      </c>
      <c r="E3" t="s">
        <v>76</v>
      </c>
    </row>
    <row r="4" spans="1:5" x14ac:dyDescent="0.35">
      <c r="A4" s="11">
        <f>IF('Coded Inputs'!$D9=3,0,1)</f>
        <v>0</v>
      </c>
      <c r="B4" s="11">
        <f>IF('Coded Inputs'!$D8=3,0,1)</f>
        <v>0</v>
      </c>
      <c r="C4" s="11">
        <f xml:space="preserve"> IF('Coded Inputs'!$D7=3,0,1)</f>
        <v>0</v>
      </c>
      <c r="D4" s="11">
        <f>IF('Coded Inputs'!$D6=3,0,1)</f>
        <v>1</v>
      </c>
      <c r="E4" s="11">
        <f>'Coded Inputs'!D12</f>
        <v>4</v>
      </c>
    </row>
    <row r="6" spans="1:5" x14ac:dyDescent="0.35">
      <c r="A6" t="s">
        <v>87</v>
      </c>
    </row>
    <row r="7" spans="1:5" x14ac:dyDescent="0.35">
      <c r="A7" s="11">
        <f>E4</f>
        <v>4</v>
      </c>
    </row>
    <row r="9" spans="1:5" x14ac:dyDescent="0.35">
      <c r="A9" t="s">
        <v>33</v>
      </c>
    </row>
    <row r="10" spans="1:5" x14ac:dyDescent="0.35">
      <c r="B10" t="s">
        <v>26</v>
      </c>
      <c r="C10" t="s">
        <v>44</v>
      </c>
      <c r="D10" t="s">
        <v>47</v>
      </c>
      <c r="E10" t="s">
        <v>48</v>
      </c>
    </row>
    <row r="11" spans="1:5" x14ac:dyDescent="0.35">
      <c r="A11" t="s">
        <v>29</v>
      </c>
      <c r="B11" s="6">
        <v>4</v>
      </c>
      <c r="C11" s="6">
        <v>4</v>
      </c>
      <c r="D11" s="6">
        <v>6</v>
      </c>
      <c r="E11" s="6">
        <v>10</v>
      </c>
    </row>
    <row r="12" spans="1:5" x14ac:dyDescent="0.35">
      <c r="A12" t="s">
        <v>28</v>
      </c>
      <c r="B12" s="6">
        <v>6</v>
      </c>
      <c r="C12" s="6">
        <v>6</v>
      </c>
      <c r="D12" s="6">
        <v>8</v>
      </c>
      <c r="E12" s="6">
        <v>15</v>
      </c>
    </row>
    <row r="13" spans="1:5" x14ac:dyDescent="0.35">
      <c r="A13" t="s">
        <v>27</v>
      </c>
      <c r="B13" s="6">
        <v>8</v>
      </c>
      <c r="C13" s="6">
        <v>8</v>
      </c>
      <c r="D13" s="6">
        <v>10</v>
      </c>
      <c r="E13" s="6">
        <v>20</v>
      </c>
    </row>
    <row r="14" spans="1:5" x14ac:dyDescent="0.35">
      <c r="A14" t="s">
        <v>3</v>
      </c>
      <c r="B14" s="6">
        <v>10</v>
      </c>
      <c r="C14" s="6">
        <v>10</v>
      </c>
      <c r="D14" s="6">
        <v>15</v>
      </c>
      <c r="E14" s="6">
        <v>20</v>
      </c>
    </row>
    <row r="16" spans="1:5" x14ac:dyDescent="0.35">
      <c r="A16" t="s">
        <v>244</v>
      </c>
      <c r="B16" t="s">
        <v>98</v>
      </c>
      <c r="C16" t="s">
        <v>98</v>
      </c>
      <c r="D16" t="s">
        <v>98</v>
      </c>
    </row>
    <row r="17" spans="1:5" x14ac:dyDescent="0.35">
      <c r="A17" t="s">
        <v>26</v>
      </c>
      <c r="B17" t="s">
        <v>44</v>
      </c>
      <c r="C17" t="s">
        <v>47</v>
      </c>
      <c r="D17" t="s">
        <v>48</v>
      </c>
    </row>
    <row r="18" spans="1:5" x14ac:dyDescent="0.35">
      <c r="A18" s="6">
        <v>8</v>
      </c>
      <c r="B18" s="6">
        <v>10</v>
      </c>
      <c r="C18" s="6">
        <v>15</v>
      </c>
      <c r="D18" s="6">
        <v>20</v>
      </c>
    </row>
    <row r="20" spans="1:5" x14ac:dyDescent="0.35">
      <c r="A20" t="s">
        <v>31</v>
      </c>
    </row>
    <row r="21" spans="1:5" x14ac:dyDescent="0.35">
      <c r="A21" t="s">
        <v>243</v>
      </c>
      <c r="B21" t="s">
        <v>32</v>
      </c>
      <c r="C21" t="s">
        <v>49</v>
      </c>
      <c r="D21" t="s">
        <v>50</v>
      </c>
      <c r="E21" t="s">
        <v>51</v>
      </c>
    </row>
    <row r="22" spans="1:5" x14ac:dyDescent="0.35">
      <c r="A22" s="6">
        <f>'Coded Inputs'!C3+'Coded Inputs'!C4</f>
        <v>140</v>
      </c>
      <c r="B22" s="6">
        <v>50</v>
      </c>
      <c r="C22" s="6">
        <v>80</v>
      </c>
      <c r="D22" s="6">
        <v>80</v>
      </c>
      <c r="E22" s="6">
        <v>80</v>
      </c>
    </row>
    <row r="24" spans="1:5" x14ac:dyDescent="0.35">
      <c r="A24" t="s">
        <v>84</v>
      </c>
      <c r="B24" t="s">
        <v>189</v>
      </c>
      <c r="C24" t="s">
        <v>199</v>
      </c>
      <c r="D24" t="s">
        <v>211</v>
      </c>
    </row>
    <row r="25" spans="1:5" x14ac:dyDescent="0.35">
      <c r="A25" s="11">
        <f>INDEX($B$11:$E$14,$A$7,1)</f>
        <v>10</v>
      </c>
      <c r="B25" s="11">
        <f>INDEX($B$11:$E$14,$A$7,2)</f>
        <v>10</v>
      </c>
      <c r="C25" s="11">
        <f>INDEX($B$11:$E$14,$A$7,3)</f>
        <v>15</v>
      </c>
      <c r="D25" s="11">
        <f>INDEX($B$11:$E$14,$A$7,4)</f>
        <v>20</v>
      </c>
    </row>
    <row r="27" spans="1:5" x14ac:dyDescent="0.35">
      <c r="A27" t="s">
        <v>85</v>
      </c>
      <c r="B27" t="s">
        <v>190</v>
      </c>
      <c r="C27" t="s">
        <v>200</v>
      </c>
      <c r="D27" t="s">
        <v>212</v>
      </c>
    </row>
    <row r="28" spans="1:5" x14ac:dyDescent="0.35">
      <c r="A28" s="11">
        <f>A4*B22</f>
        <v>0</v>
      </c>
      <c r="B28" s="11">
        <f>B4*C22</f>
        <v>0</v>
      </c>
      <c r="C28" s="11">
        <f>C4*D22</f>
        <v>0</v>
      </c>
      <c r="D28" s="11">
        <f>D4*E22</f>
        <v>80</v>
      </c>
    </row>
    <row r="30" spans="1:5" x14ac:dyDescent="0.35">
      <c r="A30" t="s">
        <v>86</v>
      </c>
      <c r="B30" t="s">
        <v>140</v>
      </c>
    </row>
    <row r="31" spans="1:5" x14ac:dyDescent="0.35">
      <c r="A31" s="10">
        <f>MIN(A25:D25)</f>
        <v>10</v>
      </c>
      <c r="B31" s="10">
        <f>MAX(A4*B22,B4*C22,C4*D22,D4*E22)</f>
        <v>80</v>
      </c>
    </row>
    <row r="33" spans="1:7" x14ac:dyDescent="0.35">
      <c r="A33" t="s">
        <v>77</v>
      </c>
    </row>
    <row r="34" spans="1:7" x14ac:dyDescent="0.35">
      <c r="A34" t="s">
        <v>26</v>
      </c>
      <c r="B34" t="s">
        <v>44</v>
      </c>
      <c r="C34" t="s">
        <v>47</v>
      </c>
      <c r="D34" t="s">
        <v>48</v>
      </c>
    </row>
    <row r="35" spans="1:7" x14ac:dyDescent="0.35">
      <c r="A35" s="11">
        <f>VLOOKUP($B31,'Carcass density'!$B$20:$F$270,2, TRUE)</f>
        <v>0.99412827109249202</v>
      </c>
      <c r="B35" s="11">
        <f>VLOOKUP($B31,'Carcass density'!$B$20:$F$270,3, TRUE)</f>
        <v>0.55987173592105899</v>
      </c>
      <c r="C35" s="11">
        <f>VLOOKUP($B31,'Carcass density'!$B$20:$F$270,4, TRUE)</f>
        <v>0.714977376736739</v>
      </c>
      <c r="D35" s="11">
        <f>VLOOKUP($B31,'Carcass density'!$B$20:$F$270,5, TRUE)</f>
        <v>0.90763767351838698</v>
      </c>
    </row>
    <row r="37" spans="1:7" x14ac:dyDescent="0.35">
      <c r="A37" t="s">
        <v>139</v>
      </c>
      <c r="B37" t="s">
        <v>191</v>
      </c>
      <c r="C37" t="s">
        <v>201</v>
      </c>
      <c r="D37" t="s">
        <v>213</v>
      </c>
    </row>
    <row r="38" spans="1:7" x14ac:dyDescent="0.35">
      <c r="A38" s="11">
        <f>VLOOKUP($A31,$A$44:$G$74,MATCH(A25,$A44:$G44,1),FALSE)</f>
        <v>0.70000000124578698</v>
      </c>
      <c r="B38" s="11">
        <f>VLOOKUP($A31,$A$44:$G$74,MATCH(B25,$A44:$G44,1),FALSE)</f>
        <v>0.70000000124578698</v>
      </c>
      <c r="C38" s="11">
        <f>VLOOKUP($A31,$A$44:$G$74,MATCH(C25,$A44:$G44,1),FALSE)</f>
        <v>0.84043432855043199</v>
      </c>
      <c r="D38" s="11">
        <f>VLOOKUP($A31,$A$44:$G$74,MATCH(D25,$A44:$G44,1),FALSE)</f>
        <v>0.90390187506911801</v>
      </c>
    </row>
    <row r="40" spans="1:7" x14ac:dyDescent="0.35">
      <c r="A40" s="7" t="s">
        <v>42</v>
      </c>
    </row>
    <row r="42" spans="1:7" x14ac:dyDescent="0.35">
      <c r="A42" t="s">
        <v>228</v>
      </c>
    </row>
    <row r="43" spans="1:7" x14ac:dyDescent="0.35">
      <c r="A43" s="6"/>
      <c r="B43" s="6" t="s">
        <v>99</v>
      </c>
      <c r="C43" s="6"/>
      <c r="D43" s="6"/>
      <c r="E43" s="6"/>
      <c r="F43" s="6"/>
      <c r="G43" s="6"/>
    </row>
    <row r="44" spans="1:7" x14ac:dyDescent="0.35">
      <c r="A44" s="6" t="s">
        <v>100</v>
      </c>
      <c r="B44" s="6">
        <v>4</v>
      </c>
      <c r="C44" s="6">
        <v>6</v>
      </c>
      <c r="D44" s="6">
        <v>8</v>
      </c>
      <c r="E44" s="6">
        <v>10</v>
      </c>
      <c r="F44" s="6">
        <v>15</v>
      </c>
      <c r="G44" s="6">
        <v>20</v>
      </c>
    </row>
    <row r="45" spans="1:7" x14ac:dyDescent="0.35">
      <c r="A45" s="6">
        <v>1</v>
      </c>
      <c r="B45" s="6">
        <v>0.97426686054335399</v>
      </c>
      <c r="C45" s="6">
        <v>0.98841291953349597</v>
      </c>
      <c r="D45" s="6">
        <v>0.993452292826837</v>
      </c>
      <c r="E45" s="6">
        <v>0.99580054064577095</v>
      </c>
      <c r="F45" s="6">
        <v>0.99812964192929199</v>
      </c>
      <c r="G45" s="6">
        <v>0.99894714778793303</v>
      </c>
    </row>
    <row r="46" spans="1:7" x14ac:dyDescent="0.35">
      <c r="A46" s="6">
        <v>2</v>
      </c>
      <c r="B46" s="6">
        <v>0.903901874978291</v>
      </c>
      <c r="C46" s="6">
        <v>0.95507229034215801</v>
      </c>
      <c r="D46" s="6">
        <v>0.97426686048667899</v>
      </c>
      <c r="E46" s="6">
        <v>0.98339121494842097</v>
      </c>
      <c r="F46" s="6">
        <v>0.99255622377265895</v>
      </c>
      <c r="G46" s="6">
        <v>0.99580054062458401</v>
      </c>
    </row>
    <row r="47" spans="1:7" x14ac:dyDescent="0.35">
      <c r="A47" s="6">
        <v>3</v>
      </c>
      <c r="B47" s="6">
        <v>0.80597511437548697</v>
      </c>
      <c r="C47" s="6">
        <v>0.90390187500846997</v>
      </c>
      <c r="D47" s="6">
        <v>0.943754080610964</v>
      </c>
      <c r="E47" s="6">
        <v>0.963322428612569</v>
      </c>
      <c r="F47" s="6">
        <v>0.98339121485584602</v>
      </c>
      <c r="G47" s="6">
        <v>0.99059575838104896</v>
      </c>
    </row>
    <row r="48" spans="1:7" x14ac:dyDescent="0.35">
      <c r="A48" s="6">
        <v>4</v>
      </c>
      <c r="B48" s="6">
        <v>0.69999999997141904</v>
      </c>
      <c r="C48" s="6">
        <v>0.84043432853710898</v>
      </c>
      <c r="D48" s="6">
        <v>0.90390187478101702</v>
      </c>
      <c r="E48" s="6">
        <v>0.93645793082437201</v>
      </c>
      <c r="F48" s="6">
        <v>0.97081549186739102</v>
      </c>
      <c r="G48" s="6">
        <v>0.98339121486557601</v>
      </c>
    </row>
    <row r="49" spans="1:7" x14ac:dyDescent="0.35">
      <c r="A49" s="6">
        <v>5</v>
      </c>
      <c r="B49" s="6">
        <v>0.60093961709595001</v>
      </c>
      <c r="C49" s="6">
        <v>0.77066432726573997</v>
      </c>
      <c r="D49" s="6">
        <v>0.85712332617423403</v>
      </c>
      <c r="E49" s="6">
        <v>0.90390187551212497</v>
      </c>
      <c r="F49" s="6">
        <v>0.95507229034640295</v>
      </c>
      <c r="G49" s="6">
        <v>0.974266860569448</v>
      </c>
    </row>
    <row r="50" spans="1:7" x14ac:dyDescent="0.35">
      <c r="A50" s="6">
        <v>6</v>
      </c>
      <c r="B50" s="6">
        <v>0.51642000487109696</v>
      </c>
      <c r="C50" s="6">
        <v>0.70000000004346297</v>
      </c>
      <c r="D50" s="6">
        <v>0.80597511402031297</v>
      </c>
      <c r="E50" s="6">
        <v>0.86691024937222905</v>
      </c>
      <c r="F50" s="6">
        <v>0.93645793048585202</v>
      </c>
      <c r="G50" s="6">
        <v>0.96332242843304206</v>
      </c>
    </row>
    <row r="51" spans="1:7" x14ac:dyDescent="0.35">
      <c r="A51" s="6">
        <v>7</v>
      </c>
      <c r="B51" s="6">
        <v>0.44790118821764902</v>
      </c>
      <c r="C51" s="6">
        <v>0.63257033307515997</v>
      </c>
      <c r="D51" s="6">
        <v>0.75289547599570195</v>
      </c>
      <c r="E51" s="6">
        <v>0.82679734139939598</v>
      </c>
      <c r="F51" s="6">
        <v>0.915310853412312</v>
      </c>
      <c r="G51" s="6">
        <v>0.95067528114132205</v>
      </c>
    </row>
    <row r="52" spans="1:7" x14ac:dyDescent="0.35">
      <c r="A52" s="6">
        <v>8</v>
      </c>
      <c r="B52" s="6">
        <v>0.39345604555003699</v>
      </c>
      <c r="C52" s="6">
        <v>0.57097689199967105</v>
      </c>
      <c r="D52" s="6">
        <v>0.69999999950048997</v>
      </c>
      <c r="E52" s="6">
        <v>0.78484759226711598</v>
      </c>
      <c r="F52" s="6">
        <v>0.89199958162982196</v>
      </c>
      <c r="G52" s="6">
        <v>0.93645793052143</v>
      </c>
    </row>
    <row r="53" spans="1:7" x14ac:dyDescent="0.35">
      <c r="A53" s="6">
        <v>9</v>
      </c>
      <c r="B53" s="6">
        <v>0.35013213894477002</v>
      </c>
      <c r="C53" s="6">
        <v>0.51642000495015405</v>
      </c>
      <c r="D53" s="6">
        <v>0.648956254652864</v>
      </c>
      <c r="E53" s="6">
        <v>0.74224132496662798</v>
      </c>
      <c r="F53" s="6">
        <v>0.86691024871400801</v>
      </c>
      <c r="G53" s="6">
        <v>0.92081530855976601</v>
      </c>
    </row>
    <row r="54" spans="1:7" x14ac:dyDescent="0.35">
      <c r="A54" s="6">
        <v>10</v>
      </c>
      <c r="B54" s="6">
        <v>0.31520583696195398</v>
      </c>
      <c r="C54" s="6">
        <v>0.46904265907480502</v>
      </c>
      <c r="D54" s="6">
        <v>0.60093961657466499</v>
      </c>
      <c r="E54" s="6">
        <v>0.70000000124578698</v>
      </c>
      <c r="F54" s="6">
        <v>0.84043432855043199</v>
      </c>
      <c r="G54" s="6">
        <v>0.90390187506911801</v>
      </c>
    </row>
    <row r="55" spans="1:7" x14ac:dyDescent="0.35">
      <c r="A55" s="6">
        <v>11</v>
      </c>
      <c r="B55" s="6">
        <v>0.28656734944747703</v>
      </c>
      <c r="C55" s="6">
        <v>0.42833055403426601</v>
      </c>
      <c r="D55" s="6">
        <v>0.55665744943791595</v>
      </c>
      <c r="E55" s="6">
        <v>0.65895338573897499</v>
      </c>
      <c r="F55" s="6">
        <v>0.81295713749336795</v>
      </c>
      <c r="G55" s="6">
        <v>0.88587864899184698</v>
      </c>
    </row>
    <row r="56" spans="1:7" x14ac:dyDescent="0.35">
      <c r="A56" s="6">
        <v>12</v>
      </c>
      <c r="B56" s="6">
        <v>0.26268946772857599</v>
      </c>
      <c r="C56" s="6">
        <v>0.39345604561681102</v>
      </c>
      <c r="D56" s="6">
        <v>0.516420004354327</v>
      </c>
      <c r="E56" s="6">
        <v>0.619727932249306</v>
      </c>
      <c r="F56" s="6">
        <v>0.78484759130592996</v>
      </c>
      <c r="G56" s="6">
        <v>0.86691024878318601</v>
      </c>
    </row>
    <row r="57" spans="1:7" x14ac:dyDescent="0.35">
      <c r="A57" s="6">
        <v>13</v>
      </c>
      <c r="B57" s="6">
        <v>0.24248297275856401</v>
      </c>
      <c r="C57" s="6">
        <v>0.363517433890932</v>
      </c>
      <c r="D57" s="6">
        <v>0.48023437448360301</v>
      </c>
      <c r="E57" s="6">
        <v>0.58275329996802006</v>
      </c>
      <c r="F57" s="6">
        <v>0.75644958262428097</v>
      </c>
      <c r="G57" s="6">
        <v>0.84716202251539496</v>
      </c>
    </row>
    <row r="58" spans="1:7" x14ac:dyDescent="0.35">
      <c r="A58" s="6">
        <v>14</v>
      </c>
      <c r="B58" s="6">
        <v>0.22516280764479399</v>
      </c>
      <c r="C58" s="6">
        <v>0.33767445108932798</v>
      </c>
      <c r="D58" s="6">
        <v>0.44790118773606502</v>
      </c>
      <c r="E58" s="6">
        <v>0.54828242018548701</v>
      </c>
      <c r="F58" s="6">
        <v>0.72807521524142704</v>
      </c>
      <c r="G58" s="6">
        <v>0.82679734066844701</v>
      </c>
    </row>
    <row r="59" spans="1:7" x14ac:dyDescent="0.35">
      <c r="A59" s="6">
        <v>15</v>
      </c>
      <c r="B59" s="6">
        <v>0.21015195875366499</v>
      </c>
      <c r="C59" s="6">
        <v>0.31520583701626198</v>
      </c>
      <c r="D59" s="6">
        <v>0.41909998460655801</v>
      </c>
      <c r="E59" s="6">
        <v>0.51642000626951401</v>
      </c>
      <c r="F59" s="6">
        <v>0.70000000006404295</v>
      </c>
      <c r="G59" s="6">
        <v>0.80597511453901505</v>
      </c>
    </row>
    <row r="60" spans="1:7" x14ac:dyDescent="0.35">
      <c r="A60" s="6">
        <v>16</v>
      </c>
      <c r="B60" s="6">
        <v>0.19701746177756899</v>
      </c>
      <c r="C60" s="6">
        <v>0.295519615311988</v>
      </c>
      <c r="D60" s="6">
        <v>0.39345604511355797</v>
      </c>
      <c r="E60" s="6">
        <v>0.487154691590238</v>
      </c>
      <c r="F60" s="6">
        <v>0.67245999444650195</v>
      </c>
      <c r="G60" s="6">
        <v>0.78484759140695004</v>
      </c>
    </row>
    <row r="61" spans="1:7" x14ac:dyDescent="0.35">
      <c r="A61" s="6">
        <v>17</v>
      </c>
      <c r="B61" s="6">
        <v>0.18542819935455199</v>
      </c>
      <c r="C61" s="6">
        <v>0.27814046179903801</v>
      </c>
      <c r="D61" s="6">
        <v>0.37058710355931501</v>
      </c>
      <c r="E61" s="6">
        <v>0.46039084155202598</v>
      </c>
      <c r="F61" s="6">
        <v>0.64565076011647404</v>
      </c>
      <c r="G61" s="6">
        <v>0.76355846469472199</v>
      </c>
    </row>
    <row r="62" spans="1:7" x14ac:dyDescent="0.35">
      <c r="A62" s="6">
        <v>18</v>
      </c>
      <c r="B62" s="6">
        <v>0.17512663272603099</v>
      </c>
      <c r="C62" s="6">
        <v>0.26268946777388702</v>
      </c>
      <c r="D62" s="6">
        <v>0.350132138551845</v>
      </c>
      <c r="E62" s="6">
        <v>0.435977232905434</v>
      </c>
      <c r="F62" s="6">
        <v>0.619727930953761</v>
      </c>
      <c r="G62" s="6">
        <v>0.74224132399630205</v>
      </c>
    </row>
    <row r="63" spans="1:7" x14ac:dyDescent="0.35">
      <c r="A63" s="6">
        <v>19</v>
      </c>
      <c r="B63" s="6">
        <v>0.16590944153005499</v>
      </c>
      <c r="C63" s="6">
        <v>0.24886404412270899</v>
      </c>
      <c r="D63" s="6">
        <v>0.33176623528972399</v>
      </c>
      <c r="E63" s="6">
        <v>0.41373097178865498</v>
      </c>
      <c r="F63" s="6">
        <v>0.59480912362422</v>
      </c>
      <c r="G63" s="6">
        <v>0.721018456663855</v>
      </c>
    </row>
    <row r="64" spans="1:7" x14ac:dyDescent="0.35">
      <c r="A64" s="6">
        <v>20</v>
      </c>
      <c r="B64" s="6">
        <v>0.15761396945355799</v>
      </c>
      <c r="C64" s="6">
        <v>0.23642092702192</v>
      </c>
      <c r="D64" s="6">
        <v>0.315205836606957</v>
      </c>
      <c r="E64" s="6">
        <v>0.39345604673118101</v>
      </c>
      <c r="F64" s="6">
        <v>0.57097689202260204</v>
      </c>
      <c r="G64" s="6">
        <v>0.70000000018824304</v>
      </c>
    </row>
    <row r="65" spans="1:7" x14ac:dyDescent="0.35">
      <c r="A65" s="6">
        <v>21</v>
      </c>
      <c r="B65" s="6">
        <v>0.150108542336722</v>
      </c>
      <c r="C65" s="6">
        <v>0.225162807683634</v>
      </c>
      <c r="D65" s="6">
        <v>0.30020812620945397</v>
      </c>
      <c r="E65" s="6">
        <v>0.37495668244728297</v>
      </c>
      <c r="F65" s="6">
        <v>0.54828241887139895</v>
      </c>
      <c r="G65" s="6">
        <v>0.67928343336961505</v>
      </c>
    </row>
    <row r="66" spans="1:7" x14ac:dyDescent="0.35">
      <c r="A66" s="6">
        <v>22</v>
      </c>
      <c r="B66" s="6">
        <v>0.14328542677596201</v>
      </c>
      <c r="C66" s="6">
        <v>0.21492813901909399</v>
      </c>
      <c r="D66" s="6">
        <v>0.28656734912443399</v>
      </c>
      <c r="E66" s="6">
        <v>0.35804614828922399</v>
      </c>
      <c r="F66" s="6">
        <v>0.52674965112875405</v>
      </c>
      <c r="G66" s="6">
        <v>0.65895338461861996</v>
      </c>
    </row>
    <row r="67" spans="1:7" x14ac:dyDescent="0.35">
      <c r="A67" s="6">
        <v>23</v>
      </c>
      <c r="B67" s="6">
        <v>0.13705562561178999</v>
      </c>
      <c r="C67" s="6">
        <v>0.20558343823009101</v>
      </c>
      <c r="D67" s="6">
        <v>0.27410992849388899</v>
      </c>
      <c r="E67" s="6">
        <v>0.34255191021599701</v>
      </c>
      <c r="F67" s="6">
        <v>0.50637961541595999</v>
      </c>
      <c r="G67" s="6">
        <v>0.63908172791235196</v>
      </c>
    </row>
    <row r="68" spans="1:7" x14ac:dyDescent="0.35">
      <c r="A68" s="6">
        <v>24</v>
      </c>
      <c r="B68" s="6">
        <v>0.13134497454463201</v>
      </c>
      <c r="C68" s="6">
        <v>0.197017461811554</v>
      </c>
      <c r="D68" s="6">
        <v>0.26268946743239102</v>
      </c>
      <c r="E68" s="6">
        <v>0.32831805600508801</v>
      </c>
      <c r="F68" s="6">
        <v>0.48715469032294001</v>
      </c>
      <c r="G68" s="6">
        <v>0.61972793108992197</v>
      </c>
    </row>
    <row r="69" spans="1:7" x14ac:dyDescent="0.35">
      <c r="A69" s="6">
        <v>25</v>
      </c>
      <c r="B69" s="6">
        <v>0.12609117556284699</v>
      </c>
      <c r="C69" s="6">
        <v>0.18913676337039401</v>
      </c>
      <c r="D69" s="6">
        <v>0.252182181886902</v>
      </c>
      <c r="E69" s="6">
        <v>0.31520583792260098</v>
      </c>
      <c r="F69" s="6">
        <v>0.46904265909644799</v>
      </c>
      <c r="G69" s="6">
        <v>0.60093961733595902</v>
      </c>
    </row>
    <row r="70" spans="1:7" x14ac:dyDescent="0.35">
      <c r="A70" s="6">
        <v>26</v>
      </c>
      <c r="B70" s="6">
        <v>0.121241514964276</v>
      </c>
      <c r="C70" s="6">
        <v>0.181862272476781</v>
      </c>
      <c r="D70" s="6">
        <v>0.24248297248515199</v>
      </c>
      <c r="E70" s="6">
        <v>0.30309302643012698</v>
      </c>
      <c r="F70" s="6">
        <v>0.45200041429007998</v>
      </c>
      <c r="G70" s="6">
        <v>0.58275329879117399</v>
      </c>
    </row>
    <row r="71" spans="1:7" x14ac:dyDescent="0.35">
      <c r="A71" s="6">
        <v>27</v>
      </c>
      <c r="B71" s="6">
        <v>0.116751088484117</v>
      </c>
      <c r="C71" s="6">
        <v>0.17512663275623999</v>
      </c>
      <c r="D71" s="6">
        <v>0.23350215805929</v>
      </c>
      <c r="E71" s="6">
        <v>0.29187259946233401</v>
      </c>
      <c r="F71" s="6">
        <v>0.43597723171885799</v>
      </c>
      <c r="G71" s="6">
        <v>0.56519524108780606</v>
      </c>
    </row>
    <row r="72" spans="1:7" x14ac:dyDescent="0.35">
      <c r="A72" s="6">
        <v>28</v>
      </c>
      <c r="B72" s="6">
        <v>0.112581406752542</v>
      </c>
      <c r="C72" s="6">
        <v>0.168872110157923</v>
      </c>
      <c r="D72" s="6">
        <v>0.22516280739090999</v>
      </c>
      <c r="E72" s="6">
        <v>0.28145113449082998</v>
      </c>
      <c r="F72" s="6">
        <v>0.42091757176841899</v>
      </c>
      <c r="G72" s="6">
        <v>0.54828241900950803</v>
      </c>
    </row>
    <row r="73" spans="1:7" x14ac:dyDescent="0.35">
      <c r="A73" s="6">
        <v>29</v>
      </c>
      <c r="B73" s="6">
        <v>0.108699289278316</v>
      </c>
      <c r="C73" s="6">
        <v>0.163048933945597</v>
      </c>
      <c r="D73" s="6">
        <v>0.21739857653682099</v>
      </c>
      <c r="E73" s="6">
        <v>0.271747140475111</v>
      </c>
      <c r="F73" s="6">
        <v>0.40676340003518302</v>
      </c>
      <c r="G73" s="6">
        <v>0.53202352615093995</v>
      </c>
    </row>
    <row r="74" spans="1:7" x14ac:dyDescent="0.35">
      <c r="A74" s="6">
        <v>30</v>
      </c>
      <c r="B74" s="6">
        <v>0.105075979635706</v>
      </c>
      <c r="C74" s="6">
        <v>0.15761396948074599</v>
      </c>
      <c r="D74" s="6">
        <v>0.21015195851670701</v>
      </c>
      <c r="E74" s="6">
        <v>0.26268946853007402</v>
      </c>
      <c r="F74" s="6">
        <v>0.39345604563588499</v>
      </c>
      <c r="G74" s="6">
        <v>0.51642000510902697</v>
      </c>
    </row>
    <row r="76" spans="1:7" x14ac:dyDescent="0.35">
      <c r="A76" s="11" t="s">
        <v>107</v>
      </c>
    </row>
    <row r="77" spans="1:7" x14ac:dyDescent="0.35">
      <c r="A77" s="10" t="s">
        <v>106</v>
      </c>
    </row>
    <row r="78" spans="1:7" x14ac:dyDescent="0.35">
      <c r="A78" s="6" t="s">
        <v>108</v>
      </c>
    </row>
    <row r="79" spans="1:7" x14ac:dyDescent="0.35">
      <c r="A79" s="7" t="s">
        <v>38</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9"/>
  <sheetViews>
    <sheetView workbookViewId="0">
      <selection activeCell="E2" sqref="E2"/>
    </sheetView>
  </sheetViews>
  <sheetFormatPr defaultColWidth="9.1796875" defaultRowHeight="14.5" x14ac:dyDescent="0.35"/>
  <cols>
    <col min="1" max="1" width="30.54296875" customWidth="1"/>
    <col min="2" max="2" width="29.7265625" customWidth="1"/>
    <col min="3" max="3" width="28.54296875" customWidth="1"/>
    <col min="4" max="4" width="25.54296875" customWidth="1"/>
    <col min="5" max="5" width="16.26953125" customWidth="1"/>
    <col min="6" max="6" width="17.7265625" customWidth="1"/>
    <col min="7" max="7" width="18.7265625" customWidth="1"/>
    <col min="8" max="8" width="17.26953125" customWidth="1"/>
    <col min="9" max="9" width="12.1796875" customWidth="1"/>
    <col min="10" max="10" width="17.26953125" customWidth="1"/>
  </cols>
  <sheetData>
    <row r="1" spans="1:10" x14ac:dyDescent="0.35">
      <c r="A1" t="s">
        <v>19</v>
      </c>
      <c r="B1" t="s">
        <v>19</v>
      </c>
      <c r="C1" t="s">
        <v>19</v>
      </c>
      <c r="D1" t="s">
        <v>19</v>
      </c>
    </row>
    <row r="2" spans="1:10" x14ac:dyDescent="0.35">
      <c r="A2" t="s">
        <v>15</v>
      </c>
      <c r="B2" t="s">
        <v>16</v>
      </c>
      <c r="C2" t="s">
        <v>45</v>
      </c>
      <c r="D2" t="s">
        <v>17</v>
      </c>
      <c r="E2" t="s">
        <v>214</v>
      </c>
      <c r="F2" t="s">
        <v>202</v>
      </c>
      <c r="G2" t="s">
        <v>192</v>
      </c>
      <c r="H2" t="s">
        <v>64</v>
      </c>
    </row>
    <row r="3" spans="1:10" x14ac:dyDescent="0.35">
      <c r="A3" s="11">
        <f>IF('Coded Inputs'!$D9=3,0,1)</f>
        <v>0</v>
      </c>
      <c r="B3" s="11">
        <f>IF('Coded Inputs'!$D8=3,0,1)</f>
        <v>0</v>
      </c>
      <c r="C3" s="11">
        <f xml:space="preserve"> IF('Coded Inputs'!$D7=3,0,1)</f>
        <v>0</v>
      </c>
      <c r="D3" s="11">
        <f>IF('Coded Inputs'!$D6=3,0,1)</f>
        <v>1</v>
      </c>
      <c r="E3" s="11">
        <f>'Coded Inputs'!D15</f>
        <v>7</v>
      </c>
      <c r="F3" s="11">
        <f>'Coded Inputs'!D16</f>
        <v>5</v>
      </c>
      <c r="G3" s="11">
        <f>'Coded Inputs'!D17</f>
        <v>4</v>
      </c>
      <c r="H3" s="11">
        <f>'Coded Inputs'!D18</f>
        <v>3</v>
      </c>
    </row>
    <row r="5" spans="1:10" x14ac:dyDescent="0.35">
      <c r="A5" t="s">
        <v>70</v>
      </c>
    </row>
    <row r="6" spans="1:10" x14ac:dyDescent="0.35">
      <c r="A6" t="s">
        <v>61</v>
      </c>
      <c r="B6" s="8" t="str">
        <f>'questions&amp;ValidAnswers'!C18</f>
        <v>Unknown</v>
      </c>
      <c r="C6" s="8" t="str">
        <f>'questions&amp;ValidAnswers'!D18</f>
        <v>less than one day</v>
      </c>
      <c r="D6" s="8" t="str">
        <f>'questions&amp;ValidAnswers'!E18</f>
        <v>1 to 3 days</v>
      </c>
      <c r="E6" s="8" t="str">
        <f>'questions&amp;ValidAnswers'!F18</f>
        <v>4 to 6 days</v>
      </c>
      <c r="F6" s="8" t="str">
        <f>'questions&amp;ValidAnswers'!G18</f>
        <v>7 to 9 days</v>
      </c>
      <c r="G6" s="8" t="str">
        <f>'questions&amp;ValidAnswers'!H18</f>
        <v>10 to 15 days</v>
      </c>
      <c r="H6" s="8" t="str">
        <f>'questions&amp;ValidAnswers'!I18</f>
        <v>16 to 20 days or unknown</v>
      </c>
      <c r="I6" s="8" t="str">
        <f>'questions&amp;ValidAnswers'!J18</f>
        <v>20 to 30 days</v>
      </c>
      <c r="J6" s="8" t="str">
        <f>'questions&amp;ValidAnswers'!K18</f>
        <v>More than 30 days</v>
      </c>
    </row>
    <row r="7" spans="1:10" x14ac:dyDescent="0.35">
      <c r="A7" t="s">
        <v>62</v>
      </c>
      <c r="B7" s="8" t="str">
        <f>'questions&amp;ValidAnswers'!C19</f>
        <v>Unknown</v>
      </c>
      <c r="C7" s="8" t="str">
        <f>'questions&amp;ValidAnswers'!D19</f>
        <v>less than one day</v>
      </c>
      <c r="D7" s="8" t="str">
        <f>'questions&amp;ValidAnswers'!E19</f>
        <v>1 to 3 days</v>
      </c>
      <c r="E7" s="8" t="str">
        <f>'questions&amp;ValidAnswers'!F19</f>
        <v>4 to 6 days</v>
      </c>
      <c r="F7" s="8" t="str">
        <f>'questions&amp;ValidAnswers'!G19</f>
        <v>7 to 9 days or unknown</v>
      </c>
      <c r="G7" s="8" t="str">
        <f>'questions&amp;ValidAnswers'!H19</f>
        <v>10 to 15 days</v>
      </c>
      <c r="H7" s="8" t="str">
        <f>'questions&amp;ValidAnswers'!I19</f>
        <v>16 to 20 days</v>
      </c>
      <c r="I7" s="8" t="str">
        <f>'questions&amp;ValidAnswers'!J19</f>
        <v>20 to 30 days</v>
      </c>
      <c r="J7" s="8" t="str">
        <f>'questions&amp;ValidAnswers'!K19</f>
        <v>More than 30 days</v>
      </c>
    </row>
    <row r="8" spans="1:10" x14ac:dyDescent="0.35">
      <c r="A8" t="s">
        <v>63</v>
      </c>
      <c r="B8" s="8" t="str">
        <f>'questions&amp;ValidAnswers'!C20</f>
        <v>Unknown</v>
      </c>
      <c r="C8" s="8" t="str">
        <f>'questions&amp;ValidAnswers'!D20</f>
        <v>less than one day</v>
      </c>
      <c r="D8" s="8" t="str">
        <f>'questions&amp;ValidAnswers'!E20</f>
        <v>1 to 3 days</v>
      </c>
      <c r="E8" s="8" t="str">
        <f>'questions&amp;ValidAnswers'!F20</f>
        <v>4 to 6 days or unknown</v>
      </c>
      <c r="F8" s="8" t="str">
        <f>'questions&amp;ValidAnswers'!G20</f>
        <v>7 to 9 days</v>
      </c>
      <c r="G8" s="8" t="str">
        <f>'questions&amp;ValidAnswers'!H20</f>
        <v>10 to 15 days</v>
      </c>
      <c r="H8" s="8" t="str">
        <f>'questions&amp;ValidAnswers'!I20</f>
        <v>16 to 20 days</v>
      </c>
      <c r="I8" s="8" t="str">
        <f>'questions&amp;ValidAnswers'!J20</f>
        <v>20 to 30 days</v>
      </c>
      <c r="J8" s="8" t="str">
        <f>'questions&amp;ValidAnswers'!K20</f>
        <v>More than 30 days</v>
      </c>
    </row>
    <row r="9" spans="1:10" x14ac:dyDescent="0.35">
      <c r="A9" t="s">
        <v>26</v>
      </c>
      <c r="B9" s="8" t="str">
        <f>'questions&amp;ValidAnswers'!C21</f>
        <v>Unknown</v>
      </c>
      <c r="C9" s="8" t="str">
        <f>'questions&amp;ValidAnswers'!D21</f>
        <v>less than one day</v>
      </c>
      <c r="D9" s="8" t="str">
        <f>'questions&amp;ValidAnswers'!E21</f>
        <v>1 to 3 days or unknown</v>
      </c>
      <c r="E9" s="8" t="str">
        <f>'questions&amp;ValidAnswers'!F21</f>
        <v>4 to 6 days</v>
      </c>
      <c r="F9" s="8" t="str">
        <f>'questions&amp;ValidAnswers'!G21</f>
        <v>7 to 9 days</v>
      </c>
      <c r="G9" s="8" t="str">
        <f>'questions&amp;ValidAnswers'!H21</f>
        <v>10 to 15 days</v>
      </c>
      <c r="H9" s="8" t="str">
        <f>'questions&amp;ValidAnswers'!I21</f>
        <v>16 to 20 days</v>
      </c>
      <c r="I9" s="8" t="str">
        <f>'questions&amp;ValidAnswers'!J21</f>
        <v>20 to 30 days</v>
      </c>
      <c r="J9" s="8" t="str">
        <f>'questions&amp;ValidAnswers'!K21</f>
        <v>More than 30 days</v>
      </c>
    </row>
    <row r="11" spans="1:10" x14ac:dyDescent="0.35">
      <c r="A11" t="s">
        <v>72</v>
      </c>
    </row>
    <row r="12" spans="1:10" x14ac:dyDescent="0.35">
      <c r="A12" t="s">
        <v>61</v>
      </c>
      <c r="B12" s="6">
        <v>28</v>
      </c>
      <c r="C12" s="6">
        <v>0.7</v>
      </c>
      <c r="D12" s="6">
        <v>2</v>
      </c>
      <c r="E12" s="6">
        <v>5</v>
      </c>
      <c r="F12" s="6">
        <v>8</v>
      </c>
      <c r="G12" s="6">
        <v>12.5</v>
      </c>
      <c r="H12" s="6">
        <v>18</v>
      </c>
      <c r="I12" s="6">
        <v>25</v>
      </c>
      <c r="J12" s="6">
        <v>30</v>
      </c>
    </row>
    <row r="13" spans="1:10" x14ac:dyDescent="0.35">
      <c r="A13" t="s">
        <v>62</v>
      </c>
      <c r="B13" s="6">
        <v>14</v>
      </c>
      <c r="C13" s="6">
        <v>0.7</v>
      </c>
      <c r="D13" s="6">
        <v>2</v>
      </c>
      <c r="E13" s="6">
        <v>5</v>
      </c>
      <c r="F13" s="6">
        <v>8</v>
      </c>
      <c r="G13" s="6">
        <v>12.5</v>
      </c>
      <c r="H13" s="6">
        <v>18</v>
      </c>
      <c r="I13" s="6">
        <v>25</v>
      </c>
      <c r="J13" s="6">
        <v>30</v>
      </c>
    </row>
    <row r="14" spans="1:10" x14ac:dyDescent="0.35">
      <c r="A14" t="s">
        <v>63</v>
      </c>
      <c r="B14" s="6">
        <v>7</v>
      </c>
      <c r="C14" s="6">
        <v>0.7</v>
      </c>
      <c r="D14" s="6">
        <v>2</v>
      </c>
      <c r="E14" s="6">
        <v>5</v>
      </c>
      <c r="F14" s="6">
        <v>8</v>
      </c>
      <c r="G14" s="6">
        <v>12.5</v>
      </c>
      <c r="H14" s="6">
        <v>18</v>
      </c>
      <c r="I14" s="6">
        <v>25</v>
      </c>
      <c r="J14" s="6">
        <v>30</v>
      </c>
    </row>
    <row r="15" spans="1:10" x14ac:dyDescent="0.35">
      <c r="A15" t="s">
        <v>26</v>
      </c>
      <c r="B15" s="6">
        <v>4</v>
      </c>
      <c r="C15" s="6">
        <v>0.7</v>
      </c>
      <c r="D15" s="6">
        <v>2</v>
      </c>
      <c r="E15" s="6">
        <v>5</v>
      </c>
      <c r="F15" s="6">
        <v>8</v>
      </c>
      <c r="G15" s="6">
        <v>12.5</v>
      </c>
      <c r="H15" s="6">
        <v>18</v>
      </c>
      <c r="I15" s="6">
        <v>25</v>
      </c>
      <c r="J15" s="6">
        <v>30</v>
      </c>
    </row>
    <row r="17" spans="1:8" x14ac:dyDescent="0.35">
      <c r="A17" t="s">
        <v>34</v>
      </c>
    </row>
    <row r="18" spans="1:8" x14ac:dyDescent="0.35">
      <c r="B18" t="s">
        <v>26</v>
      </c>
      <c r="C18" t="s">
        <v>52</v>
      </c>
      <c r="D18" t="s">
        <v>53</v>
      </c>
      <c r="E18" t="s">
        <v>54</v>
      </c>
    </row>
    <row r="19" spans="1:8" x14ac:dyDescent="0.35">
      <c r="A19" s="2" t="s">
        <v>4</v>
      </c>
      <c r="B19" s="6">
        <v>2</v>
      </c>
      <c r="C19" s="6">
        <v>7</v>
      </c>
      <c r="D19" s="6">
        <v>14</v>
      </c>
      <c r="E19" s="6">
        <v>28</v>
      </c>
    </row>
    <row r="20" spans="1:8" x14ac:dyDescent="0.35">
      <c r="A20" s="2" t="s">
        <v>58</v>
      </c>
      <c r="B20" s="6">
        <v>1</v>
      </c>
      <c r="C20" s="6">
        <v>1</v>
      </c>
      <c r="D20" s="6">
        <v>1</v>
      </c>
      <c r="E20" s="6">
        <v>1</v>
      </c>
    </row>
    <row r="21" spans="1:8" x14ac:dyDescent="0.35">
      <c r="A21" t="s">
        <v>122</v>
      </c>
      <c r="B21" s="6">
        <v>2</v>
      </c>
      <c r="C21" s="6">
        <v>3</v>
      </c>
      <c r="D21" s="6">
        <v>3</v>
      </c>
      <c r="E21" s="6">
        <v>3</v>
      </c>
    </row>
    <row r="22" spans="1:8" x14ac:dyDescent="0.35">
      <c r="A22" t="s">
        <v>123</v>
      </c>
      <c r="B22" s="6">
        <v>4</v>
      </c>
      <c r="C22" s="6">
        <v>4</v>
      </c>
      <c r="D22" s="6">
        <v>4</v>
      </c>
      <c r="E22" s="6">
        <v>4</v>
      </c>
    </row>
    <row r="23" spans="1:8" x14ac:dyDescent="0.35">
      <c r="A23" t="s">
        <v>124</v>
      </c>
      <c r="B23" s="6">
        <v>7</v>
      </c>
      <c r="C23" s="6">
        <v>7</v>
      </c>
      <c r="D23" s="6">
        <v>7</v>
      </c>
      <c r="E23" s="6">
        <v>7</v>
      </c>
    </row>
    <row r="24" spans="1:8" x14ac:dyDescent="0.35">
      <c r="A24" t="s">
        <v>125</v>
      </c>
      <c r="B24" s="6">
        <v>14</v>
      </c>
      <c r="C24" s="6">
        <v>14</v>
      </c>
      <c r="D24" s="6">
        <v>14</v>
      </c>
      <c r="E24" s="6">
        <v>14</v>
      </c>
      <c r="G24" s="2"/>
      <c r="H24" s="2"/>
    </row>
    <row r="25" spans="1:8" x14ac:dyDescent="0.35">
      <c r="A25" t="s">
        <v>126</v>
      </c>
      <c r="B25" s="6">
        <v>21</v>
      </c>
      <c r="C25" s="6">
        <v>21</v>
      </c>
      <c r="D25" s="6">
        <v>21</v>
      </c>
      <c r="E25" s="6">
        <v>21</v>
      </c>
    </row>
    <row r="26" spans="1:8" x14ac:dyDescent="0.35">
      <c r="A26" t="s">
        <v>23</v>
      </c>
      <c r="B26" s="6">
        <v>28</v>
      </c>
      <c r="C26" s="6">
        <v>28</v>
      </c>
      <c r="D26" s="6">
        <v>28</v>
      </c>
      <c r="E26" s="6">
        <v>28</v>
      </c>
    </row>
    <row r="27" spans="1:8" x14ac:dyDescent="0.35">
      <c r="A27" t="s">
        <v>65</v>
      </c>
      <c r="B27" s="6">
        <v>28</v>
      </c>
      <c r="C27" s="6">
        <v>28</v>
      </c>
      <c r="D27" s="6">
        <v>28</v>
      </c>
      <c r="E27" s="6">
        <v>28</v>
      </c>
    </row>
    <row r="29" spans="1:8" x14ac:dyDescent="0.35">
      <c r="A29" s="2" t="s">
        <v>73</v>
      </c>
    </row>
    <row r="30" spans="1:8" x14ac:dyDescent="0.35">
      <c r="A30" t="s">
        <v>43</v>
      </c>
      <c r="B30" t="s">
        <v>52</v>
      </c>
      <c r="C30" t="s">
        <v>53</v>
      </c>
      <c r="D30" t="s">
        <v>54</v>
      </c>
    </row>
    <row r="31" spans="1:8" x14ac:dyDescent="0.35">
      <c r="A31" s="11" t="str">
        <f>IF(A3=1,INDEX(B19:B27,H3,1),"NA")</f>
        <v>NA</v>
      </c>
      <c r="B31" s="11" t="str">
        <f>IF(B3=1,INDEX(C19:C27,G3,1),"NA")</f>
        <v>NA</v>
      </c>
      <c r="C31" s="11" t="str">
        <f>IF(C3=1,INDEX(D19:D27,F3,1),"NA")</f>
        <v>NA</v>
      </c>
      <c r="D31" s="11">
        <f>IF(D3=1,INDEX(E19:E27,E3,1),"NA")</f>
        <v>21</v>
      </c>
    </row>
    <row r="33" spans="1:4" x14ac:dyDescent="0.35">
      <c r="A33" t="s">
        <v>71</v>
      </c>
    </row>
    <row r="34" spans="1:4" x14ac:dyDescent="0.35">
      <c r="A34" t="s">
        <v>26</v>
      </c>
      <c r="B34" t="s">
        <v>52</v>
      </c>
      <c r="C34" t="s">
        <v>53</v>
      </c>
      <c r="D34" t="s">
        <v>54</v>
      </c>
    </row>
    <row r="35" spans="1:4" x14ac:dyDescent="0.35">
      <c r="A35" s="11">
        <f>INDEX(B12:J15,4,H3)</f>
        <v>2</v>
      </c>
      <c r="B35" s="11">
        <f>INDEX(B12:J15,3,G3)</f>
        <v>5</v>
      </c>
      <c r="C35" s="11">
        <f>INDEX(B12:J15,2,F3)</f>
        <v>8</v>
      </c>
      <c r="D35" s="11">
        <f>INDEX(B12:J15,1,E3)</f>
        <v>18</v>
      </c>
    </row>
    <row r="37" spans="1:4" x14ac:dyDescent="0.35">
      <c r="A37" t="s">
        <v>74</v>
      </c>
      <c r="B37" t="s">
        <v>168</v>
      </c>
    </row>
    <row r="38" spans="1:4" x14ac:dyDescent="0.35">
      <c r="A38" s="13">
        <f>IF(B38=0,7,B38)</f>
        <v>21</v>
      </c>
      <c r="B38">
        <f>MIN(A31:D31)</f>
        <v>21</v>
      </c>
    </row>
    <row r="40" spans="1:4" x14ac:dyDescent="0.35">
      <c r="A40" t="s">
        <v>75</v>
      </c>
    </row>
    <row r="41" spans="1:4" x14ac:dyDescent="0.35">
      <c r="A41" t="s">
        <v>43</v>
      </c>
      <c r="B41" t="s">
        <v>52</v>
      </c>
      <c r="C41" t="s">
        <v>53</v>
      </c>
      <c r="D41" t="s">
        <v>54</v>
      </c>
    </row>
    <row r="42" spans="1:4" x14ac:dyDescent="0.35">
      <c r="A42" s="13">
        <f>VLOOKUP('Search interval'!A35,'exponential persistence'!$B$4:$AR$67,1+MATCH('Search interval'!$A38,'exponential persistence'!$C$3:$AR$3))</f>
        <v>9.5235472719109496E-2</v>
      </c>
      <c r="B42" s="13">
        <f>VLOOKUP('Search interval'!B35,'exponential persistence'!$B$4:$AR$67,1+MATCH('Search interval'!$A38,'exponential persistence'!$C$3:$AR$3))</f>
        <v>0.23452486266179101</v>
      </c>
      <c r="C42" s="13">
        <f>VLOOKUP('Search interval'!C35,'exponential persistence'!$B$4:$AR$67,1+MATCH('Search interval'!$A38,'exponential persistence'!$C$3:$AR$3))</f>
        <v>0.35335628303457101</v>
      </c>
      <c r="D42" s="13">
        <f>VLOOKUP('Search interval'!D35,'exponential persistence'!$B$4:$AR$67,1+MATCH('Search interval'!$A38,'exponential persistence'!$C$3:$AR$3))</f>
        <v>0.59022580807320202</v>
      </c>
    </row>
    <row r="44" spans="1:4" x14ac:dyDescent="0.35">
      <c r="A44" s="7" t="s">
        <v>109</v>
      </c>
    </row>
    <row r="46" spans="1:4" x14ac:dyDescent="0.35">
      <c r="A46" s="11" t="s">
        <v>107</v>
      </c>
    </row>
    <row r="47" spans="1:4" x14ac:dyDescent="0.35">
      <c r="A47" s="10" t="s">
        <v>106</v>
      </c>
    </row>
    <row r="48" spans="1:4" x14ac:dyDescent="0.35">
      <c r="A48" s="6" t="s">
        <v>108</v>
      </c>
    </row>
    <row r="49" spans="1:1" x14ac:dyDescent="0.35">
      <c r="A49" s="7" t="s">
        <v>38</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User Interface-Project setup</vt:lpstr>
      <vt:lpstr>User Interface-First Year</vt:lpstr>
      <vt:lpstr>User Interface-Subsequent Years</vt:lpstr>
      <vt:lpstr>User interface-Design explorer</vt:lpstr>
      <vt:lpstr>Design explorer evaluation</vt:lpstr>
      <vt:lpstr>Search type evaluation</vt:lpstr>
      <vt:lpstr>Transect width &amp; Search radius</vt:lpstr>
      <vt:lpstr>Search interval</vt:lpstr>
      <vt:lpstr>exponential persistence</vt:lpstr>
      <vt:lpstr>Carcass density</vt:lpstr>
      <vt:lpstr>questions&amp;ValidAnswers</vt:lpstr>
      <vt:lpstr>Coded Inputs</vt:lpstr>
    </vt:vector>
  </TitlesOfParts>
  <Company>WEST,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Rabie</dc:creator>
  <cp:lastModifiedBy>Simon Hulka</cp:lastModifiedBy>
  <dcterms:created xsi:type="dcterms:W3CDTF">2020-07-09T03:48:54Z</dcterms:created>
  <dcterms:modified xsi:type="dcterms:W3CDTF">2023-08-22T11:41:29Z</dcterms:modified>
</cp:coreProperties>
</file>